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ACIE\Work\FIN3CSF-2016\Case Study 3\"/>
    </mc:Choice>
  </mc:AlternateContent>
  <bookViews>
    <workbookView xWindow="0" yWindow="0" windowWidth="15345" windowHeight="4650"/>
  </bookViews>
  <sheets>
    <sheet name="Real terms" sheetId="1" r:id="rId1"/>
    <sheet name="Nominal term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5" i="2" l="1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K34" i="2" s="1"/>
  <c r="N34" i="2" s="1"/>
  <c r="G33" i="2"/>
  <c r="G32" i="2"/>
  <c r="G31" i="2"/>
  <c r="G30" i="2"/>
  <c r="G29" i="2"/>
  <c r="G28" i="2"/>
  <c r="G27" i="2"/>
  <c r="D21" i="2"/>
  <c r="D20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D26" i="2" s="1"/>
  <c r="C25" i="2"/>
  <c r="D25" i="2" s="1"/>
  <c r="C24" i="2"/>
  <c r="D24" i="2" s="1"/>
  <c r="C23" i="2"/>
  <c r="D23" i="2" s="1"/>
  <c r="C22" i="2"/>
  <c r="D22" i="2" s="1"/>
  <c r="C21" i="2"/>
  <c r="C20" i="2"/>
  <c r="N2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J53" i="2"/>
  <c r="J52" i="2"/>
  <c r="J50" i="2"/>
  <c r="J49" i="2"/>
  <c r="J48" i="2"/>
  <c r="J46" i="2"/>
  <c r="J45" i="2"/>
  <c r="J44" i="2"/>
  <c r="J42" i="2"/>
  <c r="J41" i="2"/>
  <c r="J40" i="2"/>
  <c r="H26" i="2"/>
  <c r="G26" i="2"/>
  <c r="R55" i="2"/>
  <c r="J55" i="2" s="1"/>
  <c r="R54" i="2"/>
  <c r="J54" i="2" s="1"/>
  <c r="R53" i="2"/>
  <c r="R52" i="2"/>
  <c r="R51" i="2"/>
  <c r="J51" i="2" s="1"/>
  <c r="R50" i="2"/>
  <c r="R49" i="2"/>
  <c r="R48" i="2"/>
  <c r="R47" i="2"/>
  <c r="J47" i="2" s="1"/>
  <c r="R46" i="2"/>
  <c r="R45" i="2"/>
  <c r="R44" i="2"/>
  <c r="R43" i="2"/>
  <c r="J43" i="2" s="1"/>
  <c r="R42" i="2"/>
  <c r="R41" i="2"/>
  <c r="R40" i="2"/>
  <c r="R39" i="2"/>
  <c r="J39" i="2" s="1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E26" i="2" s="1"/>
  <c r="R25" i="2"/>
  <c r="E25" i="2" s="1"/>
  <c r="R24" i="2"/>
  <c r="E24" i="2" s="1"/>
  <c r="R23" i="2"/>
  <c r="E23" i="2" s="1"/>
  <c r="R22" i="2"/>
  <c r="E22" i="2" s="1"/>
  <c r="R21" i="2"/>
  <c r="E21" i="2" s="1"/>
  <c r="R20" i="2"/>
  <c r="E20" i="2" s="1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D4" i="2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K32" i="2" l="1"/>
  <c r="N32" i="2" s="1"/>
  <c r="I26" i="2"/>
  <c r="K26" i="2" s="1"/>
  <c r="K33" i="2"/>
  <c r="Q58" i="2"/>
  <c r="K31" i="2"/>
  <c r="K48" i="2"/>
  <c r="N48" i="2" s="1"/>
  <c r="K52" i="2"/>
  <c r="N52" i="2" s="1"/>
  <c r="K54" i="2"/>
  <c r="K29" i="2"/>
  <c r="K30" i="2"/>
  <c r="N30" i="2" s="1"/>
  <c r="K37" i="2"/>
  <c r="K38" i="2"/>
  <c r="K40" i="2"/>
  <c r="K46" i="2"/>
  <c r="K50" i="2"/>
  <c r="K27" i="2"/>
  <c r="K28" i="2"/>
  <c r="N28" i="2" s="1"/>
  <c r="K35" i="2"/>
  <c r="K36" i="2"/>
  <c r="K39" i="2"/>
  <c r="N39" i="2" s="1"/>
  <c r="O39" i="2" s="1"/>
  <c r="K41" i="2"/>
  <c r="K45" i="2"/>
  <c r="K49" i="2"/>
  <c r="N49" i="2" s="1"/>
  <c r="K51" i="2"/>
  <c r="K53" i="2"/>
  <c r="K55" i="2"/>
  <c r="N55" i="2" s="1"/>
  <c r="K44" i="2"/>
  <c r="N44" i="2" s="1"/>
  <c r="K43" i="2"/>
  <c r="N43" i="2" s="1"/>
  <c r="O26" i="2"/>
  <c r="P26" i="2" s="1"/>
  <c r="Q26" i="2" s="1"/>
  <c r="O30" i="2"/>
  <c r="P30" i="2" s="1"/>
  <c r="Q30" i="2" s="1"/>
  <c r="O32" i="2"/>
  <c r="P32" i="2" s="1"/>
  <c r="Q32" i="2" s="1"/>
  <c r="O34" i="2"/>
  <c r="P34" i="2" s="1"/>
  <c r="Q34" i="2" s="1"/>
  <c r="K42" i="2"/>
  <c r="N42" i="2" s="1"/>
  <c r="K47" i="2"/>
  <c r="N47" i="2" s="1"/>
  <c r="J39" i="1"/>
  <c r="L39" i="1" s="1"/>
  <c r="J51" i="1"/>
  <c r="L51" i="1" s="1"/>
  <c r="J55" i="1"/>
  <c r="L55" i="1" s="1"/>
  <c r="M55" i="1" s="1"/>
  <c r="N55" i="1" s="1"/>
  <c r="J36" i="1"/>
  <c r="L36" i="1" s="1"/>
  <c r="M36" i="1" s="1"/>
  <c r="N36" i="1" s="1"/>
  <c r="J35" i="1"/>
  <c r="L35" i="1" s="1"/>
  <c r="J37" i="1"/>
  <c r="L37" i="1" s="1"/>
  <c r="M37" i="1" s="1"/>
  <c r="N37" i="1" s="1"/>
  <c r="J41" i="1"/>
  <c r="L41" i="1" s="1"/>
  <c r="M41" i="1" s="1"/>
  <c r="N41" i="1" s="1"/>
  <c r="J45" i="1"/>
  <c r="L45" i="1" s="1"/>
  <c r="M45" i="1" s="1"/>
  <c r="N45" i="1" s="1"/>
  <c r="J49" i="1"/>
  <c r="L49" i="1" s="1"/>
  <c r="M49" i="1" s="1"/>
  <c r="N49" i="1" s="1"/>
  <c r="J53" i="1"/>
  <c r="L53" i="1" s="1"/>
  <c r="M53" i="1" s="1"/>
  <c r="N53" i="1" s="1"/>
  <c r="J29" i="1"/>
  <c r="L29" i="1" s="1"/>
  <c r="M29" i="1" s="1"/>
  <c r="N29" i="1" s="1"/>
  <c r="J30" i="1"/>
  <c r="L30" i="1" s="1"/>
  <c r="M30" i="1" s="1"/>
  <c r="N30" i="1" s="1"/>
  <c r="J34" i="1"/>
  <c r="L34" i="1" s="1"/>
  <c r="J46" i="1"/>
  <c r="L46" i="1" s="1"/>
  <c r="M46" i="1" s="1"/>
  <c r="J50" i="1"/>
  <c r="L50" i="1" s="1"/>
  <c r="M50" i="1" s="1"/>
  <c r="J43" i="1"/>
  <c r="L43" i="1" s="1"/>
  <c r="M43" i="1" s="1"/>
  <c r="N43" i="1" s="1"/>
  <c r="J47" i="1"/>
  <c r="L47" i="1" s="1"/>
  <c r="M47" i="1" s="1"/>
  <c r="N47" i="1" s="1"/>
  <c r="J38" i="1"/>
  <c r="L38" i="1" s="1"/>
  <c r="M38" i="1" s="1"/>
  <c r="N38" i="1" s="1"/>
  <c r="J42" i="1"/>
  <c r="L42" i="1" s="1"/>
  <c r="M42" i="1" s="1"/>
  <c r="J54" i="1"/>
  <c r="L54" i="1" s="1"/>
  <c r="M54" i="1" s="1"/>
  <c r="J33" i="1"/>
  <c r="L33" i="1" s="1"/>
  <c r="M33" i="1" s="1"/>
  <c r="N33" i="1" s="1"/>
  <c r="J32" i="1"/>
  <c r="L32" i="1" s="1"/>
  <c r="M32" i="1" s="1"/>
  <c r="N32" i="1" s="1"/>
  <c r="J31" i="1"/>
  <c r="L31" i="1" s="1"/>
  <c r="M31" i="1" s="1"/>
  <c r="N31" i="1" s="1"/>
  <c r="M35" i="1"/>
  <c r="N35" i="1" s="1"/>
  <c r="J40" i="1"/>
  <c r="L40" i="1" s="1"/>
  <c r="M40" i="1" s="1"/>
  <c r="J52" i="1"/>
  <c r="L52" i="1" s="1"/>
  <c r="M52" i="1" s="1"/>
  <c r="N52" i="1" s="1"/>
  <c r="J44" i="1"/>
  <c r="L44" i="1" s="1"/>
  <c r="M44" i="1" s="1"/>
  <c r="N44" i="1" s="1"/>
  <c r="J48" i="1"/>
  <c r="L48" i="1" s="1"/>
  <c r="J28" i="1"/>
  <c r="L28" i="1" s="1"/>
  <c r="J27" i="1"/>
  <c r="L27" i="1" s="1"/>
  <c r="J26" i="1"/>
  <c r="L26" i="1" s="1"/>
  <c r="M51" i="1"/>
  <c r="N51" i="1" s="1"/>
  <c r="M39" i="1"/>
  <c r="N39" i="1" s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D4" i="1"/>
  <c r="N51" i="2" l="1"/>
  <c r="O51" i="2" s="1"/>
  <c r="P51" i="2" s="1"/>
  <c r="Q51" i="2" s="1"/>
  <c r="N27" i="2"/>
  <c r="O27" i="2" s="1"/>
  <c r="P27" i="2" s="1"/>
  <c r="Q27" i="2" s="1"/>
  <c r="N38" i="2"/>
  <c r="O38" i="2" s="1"/>
  <c r="P38" i="2" s="1"/>
  <c r="Q38" i="2" s="1"/>
  <c r="N54" i="2"/>
  <c r="O54" i="2" s="1"/>
  <c r="P54" i="2" s="1"/>
  <c r="Q54" i="2" s="1"/>
  <c r="N36" i="2"/>
  <c r="O36" i="2" s="1"/>
  <c r="P36" i="2" s="1"/>
  <c r="Q36" i="2" s="1"/>
  <c r="N50" i="2"/>
  <c r="O50" i="2" s="1"/>
  <c r="P50" i="2" s="1"/>
  <c r="Q50" i="2" s="1"/>
  <c r="N37" i="2"/>
  <c r="O37" i="2" s="1"/>
  <c r="N33" i="2"/>
  <c r="N45" i="2"/>
  <c r="O45" i="2" s="1"/>
  <c r="P45" i="2" s="1"/>
  <c r="Q45" i="2" s="1"/>
  <c r="N35" i="2"/>
  <c r="O35" i="2" s="1"/>
  <c r="N46" i="2"/>
  <c r="O46" i="2" s="1"/>
  <c r="P46" i="2" s="1"/>
  <c r="Q46" i="2" s="1"/>
  <c r="N53" i="2"/>
  <c r="N41" i="2"/>
  <c r="O41" i="2" s="1"/>
  <c r="P41" i="2" s="1"/>
  <c r="Q41" i="2" s="1"/>
  <c r="N40" i="2"/>
  <c r="O40" i="2" s="1"/>
  <c r="P40" i="2" s="1"/>
  <c r="Q40" i="2" s="1"/>
  <c r="N29" i="2"/>
  <c r="N31" i="2"/>
  <c r="O49" i="2"/>
  <c r="P49" i="2" s="1"/>
  <c r="Q49" i="2" s="1"/>
  <c r="P39" i="2"/>
  <c r="Q39" i="2" s="1"/>
  <c r="O52" i="2"/>
  <c r="P52" i="2" s="1"/>
  <c r="Q52" i="2" s="1"/>
  <c r="O55" i="2"/>
  <c r="P55" i="2" s="1"/>
  <c r="Q55" i="2" s="1"/>
  <c r="O48" i="2"/>
  <c r="P48" i="2" s="1"/>
  <c r="Q48" i="2" s="1"/>
  <c r="O28" i="2"/>
  <c r="P28" i="2" s="1"/>
  <c r="Q28" i="2" s="1"/>
  <c r="O47" i="2"/>
  <c r="P47" i="2" s="1"/>
  <c r="Q47" i="2" s="1"/>
  <c r="O43" i="2"/>
  <c r="P43" i="2" s="1"/>
  <c r="Q43" i="2" s="1"/>
  <c r="O42" i="2"/>
  <c r="P42" i="2" s="1"/>
  <c r="Q42" i="2" s="1"/>
  <c r="O44" i="2"/>
  <c r="P44" i="2" s="1"/>
  <c r="Q44" i="2" s="1"/>
  <c r="O45" i="1"/>
  <c r="O41" i="1"/>
  <c r="O32" i="1"/>
  <c r="O53" i="1"/>
  <c r="O37" i="1"/>
  <c r="O29" i="1"/>
  <c r="O33" i="1"/>
  <c r="M34" i="1"/>
  <c r="N34" i="1" s="1"/>
  <c r="O34" i="1" s="1"/>
  <c r="N54" i="1"/>
  <c r="O54" i="1" s="1"/>
  <c r="N50" i="1"/>
  <c r="O50" i="1" s="1"/>
  <c r="N46" i="1"/>
  <c r="O46" i="1" s="1"/>
  <c r="N42" i="1"/>
  <c r="O42" i="1" s="1"/>
  <c r="N40" i="1"/>
  <c r="O40" i="1" s="1"/>
  <c r="O58" i="1"/>
  <c r="O30" i="1"/>
  <c r="O55" i="1"/>
  <c r="O43" i="1"/>
  <c r="O38" i="1"/>
  <c r="O31" i="1"/>
  <c r="O39" i="1"/>
  <c r="O52" i="1"/>
  <c r="O47" i="1"/>
  <c r="O36" i="1"/>
  <c r="O51" i="1"/>
  <c r="O49" i="1"/>
  <c r="O44" i="1"/>
  <c r="O35" i="1"/>
  <c r="M48" i="1"/>
  <c r="N48" i="1" s="1"/>
  <c r="O48" i="1" s="1"/>
  <c r="M28" i="1"/>
  <c r="N28" i="1" s="1"/>
  <c r="O28" i="1" s="1"/>
  <c r="M27" i="1"/>
  <c r="N27" i="1" s="1"/>
  <c r="O27" i="1" s="1"/>
  <c r="M26" i="1"/>
  <c r="N26" i="1" s="1"/>
  <c r="O26" i="1" s="1"/>
  <c r="P35" i="2" l="1"/>
  <c r="Q35" i="2" s="1"/>
  <c r="O31" i="2"/>
  <c r="P31" i="2" s="1"/>
  <c r="Q31" i="2" s="1"/>
  <c r="O53" i="2"/>
  <c r="P53" i="2" s="1"/>
  <c r="Q53" i="2" s="1"/>
  <c r="O33" i="2"/>
  <c r="P33" i="2" s="1"/>
  <c r="Q33" i="2" s="1"/>
  <c r="P37" i="2"/>
  <c r="Q37" i="2" s="1"/>
  <c r="O29" i="2"/>
  <c r="P29" i="2" s="1"/>
  <c r="Q29" i="2" s="1"/>
  <c r="O57" i="1"/>
  <c r="Q57" i="2" l="1"/>
  <c r="Q60" i="2" s="1"/>
  <c r="O59" i="1"/>
  <c r="O60" i="1"/>
  <c r="Q59" i="2" l="1"/>
</calcChain>
</file>

<file path=xl/sharedStrings.xml><?xml version="1.0" encoding="utf-8"?>
<sst xmlns="http://schemas.openxmlformats.org/spreadsheetml/2006/main" count="104" uniqueCount="47">
  <si>
    <t>WESTERN DISTRIBUTOR VALUATION MODEL</t>
  </si>
  <si>
    <t>Real discount rate</t>
  </si>
  <si>
    <t>Nominal discount rate</t>
  </si>
  <si>
    <t>Inflation rate</t>
  </si>
  <si>
    <t>Car toll rate</t>
  </si>
  <si>
    <t>LCV toll rate</t>
  </si>
  <si>
    <t>HCV toll rate</t>
  </si>
  <si>
    <t>Taxation rate</t>
  </si>
  <si>
    <t>Toll adjustment factor</t>
  </si>
  <si>
    <t>Traffic adjustment factor</t>
  </si>
  <si>
    <t>Operating cost adjustment factor</t>
  </si>
  <si>
    <t xml:space="preserve"> </t>
  </si>
  <si>
    <t>Year</t>
  </si>
  <si>
    <t>Discount rate</t>
  </si>
  <si>
    <t>expenditure</t>
  </si>
  <si>
    <t>Capital</t>
  </si>
  <si>
    <t xml:space="preserve">Present value of </t>
  </si>
  <si>
    <t>Cap. Expenditure</t>
  </si>
  <si>
    <t xml:space="preserve">Car Toll </t>
  </si>
  <si>
    <t>Revenue</t>
  </si>
  <si>
    <t>LCV Toll</t>
  </si>
  <si>
    <t>HCV Toll</t>
  </si>
  <si>
    <t>Total</t>
  </si>
  <si>
    <t>Operating</t>
  </si>
  <si>
    <t>Costs</t>
  </si>
  <si>
    <t>Profit before</t>
  </si>
  <si>
    <t>Tax</t>
  </si>
  <si>
    <t>Expense</t>
  </si>
  <si>
    <t>Net Cash</t>
  </si>
  <si>
    <t>Flow</t>
  </si>
  <si>
    <t>PV of</t>
  </si>
  <si>
    <t>NCF</t>
  </si>
  <si>
    <t>PV of Total NCF</t>
  </si>
  <si>
    <t>PV of CapEx</t>
  </si>
  <si>
    <t>NPV</t>
  </si>
  <si>
    <t>CityLink</t>
  </si>
  <si>
    <t>Car traffic %</t>
  </si>
  <si>
    <t>LCV traffic %</t>
  </si>
  <si>
    <t>HCV traffic %</t>
  </si>
  <si>
    <t>Traffic per day</t>
  </si>
  <si>
    <t>Profitability index</t>
  </si>
  <si>
    <t xml:space="preserve">Nominal Inflation </t>
  </si>
  <si>
    <t>Adjustment Factor</t>
  </si>
  <si>
    <t>Nominal Capital</t>
  </si>
  <si>
    <t>Expenditure</t>
  </si>
  <si>
    <t>Nominal</t>
  </si>
  <si>
    <t>Operating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</si>
</sst>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workbookViewId="0"/>
  </sheetViews>
  <sheetFormatPr defaultRowHeight="15" x14ac:dyDescent="0.25"/>
  <cols>
    <col min="2" max="2" width="13.5703125" customWidth="1"/>
    <col min="3" max="3" width="14.85546875" style="1" customWidth="1"/>
    <col min="4" max="4" width="15.42578125" customWidth="1"/>
    <col min="5" max="5" width="13.85546875" customWidth="1"/>
    <col min="6" max="6" width="13" customWidth="1"/>
    <col min="7" max="7" width="12.7109375" customWidth="1"/>
    <col min="8" max="9" width="12.42578125" customWidth="1"/>
    <col min="10" max="10" width="11.85546875" customWidth="1"/>
    <col min="11" max="11" width="12.7109375" customWidth="1"/>
    <col min="12" max="12" width="11.140625" customWidth="1"/>
    <col min="13" max="14" width="10.85546875" customWidth="1"/>
    <col min="15" max="15" width="12.7109375" customWidth="1"/>
  </cols>
  <sheetData>
    <row r="1" spans="1:6" x14ac:dyDescent="0.25">
      <c r="A1" t="s">
        <v>0</v>
      </c>
    </row>
    <row r="3" spans="1:6" x14ac:dyDescent="0.25">
      <c r="A3" t="s">
        <v>1</v>
      </c>
      <c r="D3">
        <v>7.51E-2</v>
      </c>
    </row>
    <row r="4" spans="1:6" x14ac:dyDescent="0.25">
      <c r="A4" t="s">
        <v>2</v>
      </c>
      <c r="D4" s="2">
        <f>+((1+D3)*(1+D5))-1</f>
        <v>9.6601999999999855E-2</v>
      </c>
    </row>
    <row r="5" spans="1:6" x14ac:dyDescent="0.25">
      <c r="A5" t="s">
        <v>3</v>
      </c>
      <c r="D5">
        <v>0.02</v>
      </c>
    </row>
    <row r="6" spans="1:6" x14ac:dyDescent="0.25">
      <c r="A6" t="s">
        <v>4</v>
      </c>
      <c r="D6">
        <v>5</v>
      </c>
    </row>
    <row r="7" spans="1:6" x14ac:dyDescent="0.25">
      <c r="A7" t="s">
        <v>5</v>
      </c>
      <c r="D7">
        <v>8</v>
      </c>
    </row>
    <row r="8" spans="1:6" x14ac:dyDescent="0.25">
      <c r="A8" t="s">
        <v>6</v>
      </c>
      <c r="D8">
        <v>13.3</v>
      </c>
    </row>
    <row r="9" spans="1:6" x14ac:dyDescent="0.25">
      <c r="A9" t="s">
        <v>7</v>
      </c>
      <c r="D9">
        <v>0.25</v>
      </c>
    </row>
    <row r="10" spans="1:6" x14ac:dyDescent="0.25">
      <c r="A10" t="s">
        <v>36</v>
      </c>
      <c r="D10">
        <v>0.6</v>
      </c>
    </row>
    <row r="11" spans="1:6" x14ac:dyDescent="0.25">
      <c r="A11" t="s">
        <v>37</v>
      </c>
      <c r="D11">
        <v>0.2</v>
      </c>
    </row>
    <row r="12" spans="1:6" x14ac:dyDescent="0.25">
      <c r="A12" t="s">
        <v>38</v>
      </c>
      <c r="D12">
        <v>0.2</v>
      </c>
    </row>
    <row r="14" spans="1:6" x14ac:dyDescent="0.25">
      <c r="A14" t="s">
        <v>8</v>
      </c>
      <c r="D14">
        <v>1</v>
      </c>
      <c r="F14" t="s">
        <v>11</v>
      </c>
    </row>
    <row r="15" spans="1:6" x14ac:dyDescent="0.25">
      <c r="A15" t="s">
        <v>9</v>
      </c>
      <c r="D15">
        <v>1</v>
      </c>
      <c r="F15" t="s">
        <v>11</v>
      </c>
    </row>
    <row r="16" spans="1:6" x14ac:dyDescent="0.25">
      <c r="A16" t="s">
        <v>10</v>
      </c>
      <c r="D16">
        <v>1</v>
      </c>
      <c r="F16" t="s">
        <v>11</v>
      </c>
    </row>
    <row r="18" spans="1:15" x14ac:dyDescent="0.25">
      <c r="A18" t="s">
        <v>11</v>
      </c>
      <c r="B18" t="s">
        <v>15</v>
      </c>
      <c r="D18" t="s">
        <v>16</v>
      </c>
      <c r="F18" t="s">
        <v>18</v>
      </c>
      <c r="G18" t="s">
        <v>20</v>
      </c>
      <c r="H18" t="s">
        <v>21</v>
      </c>
      <c r="I18" t="s">
        <v>35</v>
      </c>
      <c r="J18" t="s">
        <v>22</v>
      </c>
      <c r="K18" t="s">
        <v>23</v>
      </c>
      <c r="L18" t="s">
        <v>25</v>
      </c>
      <c r="M18" t="s">
        <v>26</v>
      </c>
      <c r="N18" t="s">
        <v>28</v>
      </c>
      <c r="O18" t="s">
        <v>30</v>
      </c>
    </row>
    <row r="19" spans="1:15" x14ac:dyDescent="0.25">
      <c r="A19" t="s">
        <v>12</v>
      </c>
      <c r="B19" t="s">
        <v>14</v>
      </c>
      <c r="C19" s="1" t="s">
        <v>13</v>
      </c>
      <c r="D19" t="s">
        <v>17</v>
      </c>
      <c r="E19" t="s">
        <v>39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24</v>
      </c>
      <c r="L19" t="s">
        <v>26</v>
      </c>
      <c r="M19" t="s">
        <v>27</v>
      </c>
      <c r="N19" t="s">
        <v>29</v>
      </c>
      <c r="O19" t="s">
        <v>31</v>
      </c>
    </row>
    <row r="20" spans="1:15" x14ac:dyDescent="0.25">
      <c r="A20">
        <v>2016</v>
      </c>
      <c r="B20">
        <v>0</v>
      </c>
      <c r="C20" s="1">
        <f>1/(1+$D$3)^0</f>
        <v>1</v>
      </c>
      <c r="D20">
        <f>+B20*C20</f>
        <v>0</v>
      </c>
    </row>
    <row r="21" spans="1:15" x14ac:dyDescent="0.25">
      <c r="A21">
        <v>2017</v>
      </c>
      <c r="B21">
        <v>0</v>
      </c>
      <c r="C21" s="1">
        <f>1/(1+$D$3)^1</f>
        <v>0.93014603292716957</v>
      </c>
      <c r="D21">
        <f t="shared" ref="D21:D26" si="0">+B21*C21</f>
        <v>0</v>
      </c>
    </row>
    <row r="22" spans="1:15" x14ac:dyDescent="0.25">
      <c r="A22">
        <v>2018</v>
      </c>
      <c r="B22">
        <v>800000000</v>
      </c>
      <c r="C22" s="1">
        <f>1/(1+$D$3)^2</f>
        <v>0.86517164257015122</v>
      </c>
      <c r="D22">
        <f t="shared" si="0"/>
        <v>692137314.05612099</v>
      </c>
    </row>
    <row r="23" spans="1:15" x14ac:dyDescent="0.25">
      <c r="A23">
        <v>2019</v>
      </c>
      <c r="B23">
        <v>1500000000</v>
      </c>
      <c r="C23" s="1">
        <f>1/(1+$D$3)^3</f>
        <v>0.80473597113770923</v>
      </c>
      <c r="D23">
        <f t="shared" si="0"/>
        <v>1207103956.7065639</v>
      </c>
    </row>
    <row r="24" spans="1:15" x14ac:dyDescent="0.25">
      <c r="A24">
        <v>2020</v>
      </c>
      <c r="B24">
        <v>1500000000</v>
      </c>
      <c r="C24" s="1">
        <f>1/(1+$D$3)^4</f>
        <v>0.7485219711075336</v>
      </c>
      <c r="D24">
        <f t="shared" si="0"/>
        <v>1122782956.6613004</v>
      </c>
    </row>
    <row r="25" spans="1:15" x14ac:dyDescent="0.25">
      <c r="A25">
        <v>2021</v>
      </c>
      <c r="B25">
        <v>1200000000</v>
      </c>
      <c r="C25" s="1">
        <f>1/(1+$D$3)^5</f>
        <v>0.69623474198449786</v>
      </c>
      <c r="D25">
        <f t="shared" si="0"/>
        <v>835481690.38139749</v>
      </c>
    </row>
    <row r="26" spans="1:15" x14ac:dyDescent="0.25">
      <c r="A26">
        <v>2022</v>
      </c>
      <c r="B26">
        <v>500000000</v>
      </c>
      <c r="C26" s="1">
        <f>1/(1+$D$3)^6</f>
        <v>0.6475999832429522</v>
      </c>
      <c r="D26">
        <f t="shared" si="0"/>
        <v>323799991.62147611</v>
      </c>
      <c r="E26">
        <v>180000</v>
      </c>
      <c r="F26">
        <f>+(($D$6*$D$14)*(365*($D$10*E26*$D$15)))</f>
        <v>197100000</v>
      </c>
      <c r="G26">
        <f>+(($D$7*$D$14)*(365*($D$11*E26*$D$15)))</f>
        <v>105120000</v>
      </c>
      <c r="H26">
        <f>+(($D$8*$D$14)*(365*($D$12*E26*$D$15)))</f>
        <v>174762000</v>
      </c>
      <c r="J26">
        <f>+F26+G26+H26+I26</f>
        <v>476982000</v>
      </c>
      <c r="K26">
        <f>20000000*$D$16</f>
        <v>20000000</v>
      </c>
      <c r="L26">
        <f>+J26-K26</f>
        <v>456982000</v>
      </c>
      <c r="M26">
        <f>+L26*$D$9</f>
        <v>114245500</v>
      </c>
      <c r="N26">
        <f>+L26-M26</f>
        <v>342736500</v>
      </c>
      <c r="O26">
        <f>+N26*C26</f>
        <v>221956151.65674809</v>
      </c>
    </row>
    <row r="27" spans="1:15" x14ac:dyDescent="0.25">
      <c r="A27">
        <v>2023</v>
      </c>
      <c r="C27" s="1">
        <f>1/(1+$D$3)^7</f>
        <v>0.60236255533713345</v>
      </c>
      <c r="E27">
        <v>190000</v>
      </c>
      <c r="F27">
        <f t="shared" ref="F27:F55" si="1">+(($D$6*$D$14)*(365*($D$10*E27*$D$15)))</f>
        <v>208050000</v>
      </c>
      <c r="G27">
        <f t="shared" ref="G27:G55" si="2">+(($D$7*$D$14)*(365*($D$11*E27*$D$15)))</f>
        <v>110960000</v>
      </c>
      <c r="H27">
        <f t="shared" ref="H27:H55" si="3">+(($D$8*$D$14)*(365*($D$12*E27*$D$15)))</f>
        <v>184471000</v>
      </c>
      <c r="J27">
        <f t="shared" ref="J27:J55" si="4">+F27+G27+H27+I27</f>
        <v>503481000</v>
      </c>
      <c r="K27">
        <f>25000000*$D$16</f>
        <v>25000000</v>
      </c>
      <c r="L27">
        <f t="shared" ref="L27:L55" si="5">+J27-K27</f>
        <v>478481000</v>
      </c>
      <c r="M27">
        <f t="shared" ref="M27:M55" si="6">+L27*$D$9</f>
        <v>119620250</v>
      </c>
      <c r="N27">
        <f t="shared" ref="N27:N55" si="7">+L27-M27</f>
        <v>358860750</v>
      </c>
      <c r="O27">
        <f t="shared" ref="O27:O55" si="8">+N27*C27</f>
        <v>216164278.38020021</v>
      </c>
    </row>
    <row r="28" spans="1:15" x14ac:dyDescent="0.25">
      <c r="A28">
        <v>2024</v>
      </c>
      <c r="C28" s="1">
        <f>1/(1+$D$3)^8</f>
        <v>0.56028514123070738</v>
      </c>
      <c r="E28">
        <v>200000</v>
      </c>
      <c r="F28">
        <f t="shared" si="1"/>
        <v>219000000</v>
      </c>
      <c r="G28">
        <f t="shared" si="2"/>
        <v>116800000</v>
      </c>
      <c r="H28">
        <f t="shared" si="3"/>
        <v>194180000</v>
      </c>
      <c r="J28">
        <f t="shared" si="4"/>
        <v>529980000</v>
      </c>
      <c r="K28">
        <f>30000000*$D$16</f>
        <v>30000000</v>
      </c>
      <c r="L28">
        <f t="shared" si="5"/>
        <v>499980000</v>
      </c>
      <c r="M28">
        <f t="shared" si="6"/>
        <v>124995000</v>
      </c>
      <c r="N28">
        <f t="shared" si="7"/>
        <v>374985000</v>
      </c>
      <c r="O28">
        <f t="shared" si="8"/>
        <v>210098523.6843968</v>
      </c>
    </row>
    <row r="29" spans="1:15" x14ac:dyDescent="0.25">
      <c r="A29">
        <v>2025</v>
      </c>
      <c r="C29" s="1">
        <f>1/(1+$D$3)^9</f>
        <v>0.52114700142378134</v>
      </c>
      <c r="E29">
        <v>210000</v>
      </c>
      <c r="F29">
        <f t="shared" si="1"/>
        <v>229950000</v>
      </c>
      <c r="G29">
        <f t="shared" si="2"/>
        <v>122640000</v>
      </c>
      <c r="H29">
        <f t="shared" si="3"/>
        <v>203889000</v>
      </c>
      <c r="J29">
        <f t="shared" si="4"/>
        <v>556479000</v>
      </c>
      <c r="K29">
        <f>35000000*$D$16</f>
        <v>35000000</v>
      </c>
      <c r="L29">
        <f t="shared" si="5"/>
        <v>521479000</v>
      </c>
      <c r="M29">
        <f t="shared" si="6"/>
        <v>130369750</v>
      </c>
      <c r="N29">
        <f t="shared" si="7"/>
        <v>391109250</v>
      </c>
      <c r="O29">
        <f t="shared" si="8"/>
        <v>203825412.86660406</v>
      </c>
    </row>
    <row r="30" spans="1:15" x14ac:dyDescent="0.25">
      <c r="A30">
        <v>2026</v>
      </c>
      <c r="C30" s="1">
        <f>1/(1+$D$3)^10</f>
        <v>0.48474281594622021</v>
      </c>
      <c r="E30">
        <v>220000</v>
      </c>
      <c r="F30">
        <f t="shared" si="1"/>
        <v>240900000</v>
      </c>
      <c r="G30">
        <f t="shared" si="2"/>
        <v>128480000</v>
      </c>
      <c r="H30">
        <f t="shared" si="3"/>
        <v>213598000</v>
      </c>
      <c r="J30">
        <f t="shared" si="4"/>
        <v>582978000</v>
      </c>
      <c r="K30">
        <f>40000000*$D$16</f>
        <v>40000000</v>
      </c>
      <c r="L30">
        <f t="shared" si="5"/>
        <v>542978000</v>
      </c>
      <c r="M30">
        <f t="shared" si="6"/>
        <v>135744500</v>
      </c>
      <c r="N30">
        <f t="shared" si="7"/>
        <v>407233500</v>
      </c>
      <c r="O30">
        <f t="shared" si="8"/>
        <v>197403513.53763506</v>
      </c>
    </row>
    <row r="31" spans="1:15" x14ac:dyDescent="0.25">
      <c r="A31">
        <v>2027</v>
      </c>
      <c r="C31" s="1">
        <f>1/(1+$D$3)^11</f>
        <v>0.4508816072423219</v>
      </c>
      <c r="E31">
        <v>225000</v>
      </c>
      <c r="F31">
        <f t="shared" si="1"/>
        <v>246375000</v>
      </c>
      <c r="G31">
        <f t="shared" si="2"/>
        <v>131400000</v>
      </c>
      <c r="H31">
        <f t="shared" si="3"/>
        <v>218452500</v>
      </c>
      <c r="J31">
        <f t="shared" si="4"/>
        <v>596227500</v>
      </c>
      <c r="K31">
        <f t="shared" ref="K31:K55" si="9">40000000*$D$16</f>
        <v>40000000</v>
      </c>
      <c r="L31">
        <f t="shared" si="5"/>
        <v>556227500</v>
      </c>
      <c r="M31">
        <f t="shared" si="6"/>
        <v>139056875</v>
      </c>
      <c r="N31">
        <f t="shared" si="7"/>
        <v>417170625</v>
      </c>
      <c r="O31">
        <f t="shared" si="8"/>
        <v>188094561.89428395</v>
      </c>
    </row>
    <row r="32" spans="1:15" x14ac:dyDescent="0.25">
      <c r="A32">
        <v>2028</v>
      </c>
      <c r="C32" s="1">
        <f>1/(1+$D$3)^12</f>
        <v>0.4193857382962719</v>
      </c>
      <c r="E32">
        <v>225000</v>
      </c>
      <c r="F32">
        <f t="shared" si="1"/>
        <v>246375000</v>
      </c>
      <c r="G32">
        <f t="shared" si="2"/>
        <v>131400000</v>
      </c>
      <c r="H32">
        <f t="shared" si="3"/>
        <v>218452500</v>
      </c>
      <c r="J32">
        <f t="shared" si="4"/>
        <v>596227500</v>
      </c>
      <c r="K32">
        <f t="shared" si="9"/>
        <v>40000000</v>
      </c>
      <c r="L32">
        <f t="shared" si="5"/>
        <v>556227500</v>
      </c>
      <c r="M32">
        <f t="shared" si="6"/>
        <v>139056875</v>
      </c>
      <c r="N32">
        <f t="shared" si="7"/>
        <v>417170625</v>
      </c>
      <c r="O32">
        <f t="shared" si="8"/>
        <v>174955410.56114218</v>
      </c>
    </row>
    <row r="33" spans="1:15" x14ac:dyDescent="0.25">
      <c r="A33">
        <v>2029</v>
      </c>
      <c r="C33" s="1">
        <f>1/(1+$D$3)^13</f>
        <v>0.3900899807425095</v>
      </c>
      <c r="E33">
        <v>225000</v>
      </c>
      <c r="F33">
        <f t="shared" si="1"/>
        <v>246375000</v>
      </c>
      <c r="G33">
        <f t="shared" si="2"/>
        <v>131400000</v>
      </c>
      <c r="H33">
        <f t="shared" si="3"/>
        <v>218452500</v>
      </c>
      <c r="J33">
        <f t="shared" si="4"/>
        <v>596227500</v>
      </c>
      <c r="K33">
        <f t="shared" si="9"/>
        <v>40000000</v>
      </c>
      <c r="L33">
        <f t="shared" si="5"/>
        <v>556227500</v>
      </c>
      <c r="M33">
        <f t="shared" si="6"/>
        <v>139056875</v>
      </c>
      <c r="N33">
        <f t="shared" si="7"/>
        <v>417170625</v>
      </c>
      <c r="O33">
        <f t="shared" si="8"/>
        <v>162734081.07259065</v>
      </c>
    </row>
    <row r="34" spans="1:15" x14ac:dyDescent="0.25">
      <c r="A34">
        <v>2030</v>
      </c>
      <c r="C34" s="1">
        <f>1/(1+$D$3)^14</f>
        <v>0.36284064807228122</v>
      </c>
      <c r="E34">
        <v>225000</v>
      </c>
      <c r="F34">
        <f t="shared" si="1"/>
        <v>246375000</v>
      </c>
      <c r="G34">
        <f t="shared" si="2"/>
        <v>131400000</v>
      </c>
      <c r="H34">
        <f t="shared" si="3"/>
        <v>218452500</v>
      </c>
      <c r="J34">
        <f t="shared" si="4"/>
        <v>596227500</v>
      </c>
      <c r="K34">
        <f t="shared" si="9"/>
        <v>40000000</v>
      </c>
      <c r="L34">
        <f t="shared" si="5"/>
        <v>556227500</v>
      </c>
      <c r="M34">
        <f t="shared" si="6"/>
        <v>139056875</v>
      </c>
      <c r="N34">
        <f t="shared" si="7"/>
        <v>417170625</v>
      </c>
      <c r="O34">
        <f t="shared" si="8"/>
        <v>151366459.93171862</v>
      </c>
    </row>
    <row r="35" spans="1:15" x14ac:dyDescent="0.25">
      <c r="A35">
        <v>2031</v>
      </c>
      <c r="C35" s="1">
        <f>1/(1+$D$3)^15</f>
        <v>0.33749478938915556</v>
      </c>
      <c r="E35">
        <v>225000</v>
      </c>
      <c r="F35">
        <f t="shared" si="1"/>
        <v>246375000</v>
      </c>
      <c r="G35">
        <f t="shared" si="2"/>
        <v>131400000</v>
      </c>
      <c r="H35">
        <f t="shared" si="3"/>
        <v>218452500</v>
      </c>
      <c r="J35">
        <f t="shared" si="4"/>
        <v>596227500</v>
      </c>
      <c r="K35">
        <f t="shared" si="9"/>
        <v>40000000</v>
      </c>
      <c r="L35">
        <f t="shared" si="5"/>
        <v>556227500</v>
      </c>
      <c r="M35">
        <f t="shared" si="6"/>
        <v>139056875</v>
      </c>
      <c r="N35">
        <f t="shared" si="7"/>
        <v>417170625</v>
      </c>
      <c r="O35">
        <f t="shared" si="8"/>
        <v>140792912.22371739</v>
      </c>
    </row>
    <row r="36" spans="1:15" x14ac:dyDescent="0.25">
      <c r="A36">
        <v>2032</v>
      </c>
      <c r="C36" s="1">
        <f>1/(1+$D$3)^16</f>
        <v>0.31391943948391365</v>
      </c>
      <c r="E36">
        <v>225000</v>
      </c>
      <c r="F36">
        <f t="shared" si="1"/>
        <v>246375000</v>
      </c>
      <c r="G36">
        <f t="shared" si="2"/>
        <v>131400000</v>
      </c>
      <c r="H36">
        <f t="shared" si="3"/>
        <v>218452500</v>
      </c>
      <c r="J36">
        <f t="shared" si="4"/>
        <v>596227500</v>
      </c>
      <c r="K36">
        <f t="shared" si="9"/>
        <v>40000000</v>
      </c>
      <c r="L36">
        <f t="shared" si="5"/>
        <v>556227500</v>
      </c>
      <c r="M36">
        <f t="shared" si="6"/>
        <v>139056875</v>
      </c>
      <c r="N36">
        <f t="shared" si="7"/>
        <v>417170625</v>
      </c>
      <c r="O36">
        <f t="shared" si="8"/>
        <v>130957968.76915394</v>
      </c>
    </row>
    <row r="37" spans="1:15" x14ac:dyDescent="0.25">
      <c r="A37">
        <v>2033</v>
      </c>
      <c r="C37" s="1">
        <f>1/(1+$D$3)^17</f>
        <v>0.29199092129468301</v>
      </c>
      <c r="E37">
        <v>225000</v>
      </c>
      <c r="F37">
        <f t="shared" si="1"/>
        <v>246375000</v>
      </c>
      <c r="G37">
        <f t="shared" si="2"/>
        <v>131400000</v>
      </c>
      <c r="H37">
        <f t="shared" si="3"/>
        <v>218452500</v>
      </c>
      <c r="J37">
        <f t="shared" si="4"/>
        <v>596227500</v>
      </c>
      <c r="K37">
        <f t="shared" si="9"/>
        <v>40000000</v>
      </c>
      <c r="L37">
        <f t="shared" si="5"/>
        <v>556227500</v>
      </c>
      <c r="M37">
        <f t="shared" si="6"/>
        <v>139056875</v>
      </c>
      <c r="N37">
        <f t="shared" si="7"/>
        <v>417170625</v>
      </c>
      <c r="O37">
        <f t="shared" si="8"/>
        <v>121810035.13082872</v>
      </c>
    </row>
    <row r="38" spans="1:15" x14ac:dyDescent="0.25">
      <c r="A38">
        <v>2034</v>
      </c>
      <c r="C38" s="1">
        <f>1/(1+$D$3)^18</f>
        <v>0.27159419709299876</v>
      </c>
      <c r="E38">
        <v>225000</v>
      </c>
      <c r="F38">
        <f t="shared" si="1"/>
        <v>246375000</v>
      </c>
      <c r="G38">
        <f t="shared" si="2"/>
        <v>131400000</v>
      </c>
      <c r="H38">
        <f t="shared" si="3"/>
        <v>218452500</v>
      </c>
      <c r="J38">
        <f t="shared" si="4"/>
        <v>596227500</v>
      </c>
      <c r="K38">
        <f t="shared" si="9"/>
        <v>40000000</v>
      </c>
      <c r="L38">
        <f t="shared" si="5"/>
        <v>556227500</v>
      </c>
      <c r="M38">
        <f t="shared" si="6"/>
        <v>139056875</v>
      </c>
      <c r="N38">
        <f t="shared" si="7"/>
        <v>417170625</v>
      </c>
      <c r="O38">
        <f t="shared" si="8"/>
        <v>113301120.94765948</v>
      </c>
    </row>
    <row r="39" spans="1:15" x14ac:dyDescent="0.25">
      <c r="A39">
        <v>2035</v>
      </c>
      <c r="C39" s="1">
        <f>1/(1+$D$3)^19</f>
        <v>0.25262226499209262</v>
      </c>
      <c r="E39">
        <v>225000</v>
      </c>
      <c r="F39">
        <f t="shared" si="1"/>
        <v>246375000</v>
      </c>
      <c r="G39">
        <f t="shared" si="2"/>
        <v>131400000</v>
      </c>
      <c r="H39">
        <f t="shared" si="3"/>
        <v>218452500</v>
      </c>
      <c r="I39">
        <f>365*835000*2.25</f>
        <v>685743750</v>
      </c>
      <c r="J39">
        <f t="shared" si="4"/>
        <v>1281971250</v>
      </c>
      <c r="K39">
        <f t="shared" si="9"/>
        <v>40000000</v>
      </c>
      <c r="L39">
        <f t="shared" si="5"/>
        <v>1241971250</v>
      </c>
      <c r="M39">
        <f t="shared" si="6"/>
        <v>310492812.5</v>
      </c>
      <c r="N39">
        <f t="shared" si="7"/>
        <v>931478437.5</v>
      </c>
      <c r="O39">
        <f t="shared" si="8"/>
        <v>235312192.67254537</v>
      </c>
    </row>
    <row r="40" spans="1:15" x14ac:dyDescent="0.25">
      <c r="A40">
        <v>2036</v>
      </c>
      <c r="C40" s="1">
        <f>1/(1+$D$3)^20</f>
        <v>0.23497559761147119</v>
      </c>
      <c r="E40">
        <v>225000</v>
      </c>
      <c r="F40">
        <f t="shared" si="1"/>
        <v>246375000</v>
      </c>
      <c r="G40">
        <f t="shared" si="2"/>
        <v>131400000</v>
      </c>
      <c r="H40">
        <f t="shared" si="3"/>
        <v>218452500</v>
      </c>
      <c r="I40">
        <f t="shared" ref="I40:I55" si="10">365*835000*2.25</f>
        <v>685743750</v>
      </c>
      <c r="J40">
        <f t="shared" si="4"/>
        <v>1281971250</v>
      </c>
      <c r="K40">
        <f t="shared" si="9"/>
        <v>40000000</v>
      </c>
      <c r="L40">
        <f t="shared" si="5"/>
        <v>1241971250</v>
      </c>
      <c r="M40">
        <f t="shared" si="6"/>
        <v>310492812.5</v>
      </c>
      <c r="N40">
        <f t="shared" si="7"/>
        <v>931478437.5</v>
      </c>
      <c r="O40">
        <f t="shared" si="8"/>
        <v>218874702.51376191</v>
      </c>
    </row>
    <row r="41" spans="1:15" x14ac:dyDescent="0.25">
      <c r="A41">
        <v>2037</v>
      </c>
      <c r="C41" s="1">
        <f>1/(1+$D$3)^21</f>
        <v>0.21856161995300086</v>
      </c>
      <c r="E41">
        <v>225000</v>
      </c>
      <c r="F41">
        <f t="shared" si="1"/>
        <v>246375000</v>
      </c>
      <c r="G41">
        <f t="shared" si="2"/>
        <v>131400000</v>
      </c>
      <c r="H41">
        <f t="shared" si="3"/>
        <v>218452500</v>
      </c>
      <c r="I41">
        <f t="shared" si="10"/>
        <v>685743750</v>
      </c>
      <c r="J41">
        <f t="shared" si="4"/>
        <v>1281971250</v>
      </c>
      <c r="K41">
        <f t="shared" si="9"/>
        <v>40000000</v>
      </c>
      <c r="L41">
        <f t="shared" si="5"/>
        <v>1241971250</v>
      </c>
      <c r="M41">
        <f t="shared" si="6"/>
        <v>310492812.5</v>
      </c>
      <c r="N41">
        <f t="shared" si="7"/>
        <v>931478437.5</v>
      </c>
      <c r="O41">
        <f t="shared" si="8"/>
        <v>203585436.25129005</v>
      </c>
    </row>
    <row r="42" spans="1:15" x14ac:dyDescent="0.25">
      <c r="A42">
        <v>2038</v>
      </c>
      <c r="C42" s="1">
        <f>1/(1+$D$3)^22</f>
        <v>0.20329422374941944</v>
      </c>
      <c r="E42">
        <v>225000</v>
      </c>
      <c r="F42">
        <f t="shared" si="1"/>
        <v>246375000</v>
      </c>
      <c r="G42">
        <f t="shared" si="2"/>
        <v>131400000</v>
      </c>
      <c r="H42">
        <f t="shared" si="3"/>
        <v>218452500</v>
      </c>
      <c r="I42">
        <f t="shared" si="10"/>
        <v>685743750</v>
      </c>
      <c r="J42">
        <f t="shared" si="4"/>
        <v>1281971250</v>
      </c>
      <c r="K42">
        <f t="shared" si="9"/>
        <v>40000000</v>
      </c>
      <c r="L42">
        <f t="shared" si="5"/>
        <v>1241971250</v>
      </c>
      <c r="M42">
        <f t="shared" si="6"/>
        <v>310492812.5</v>
      </c>
      <c r="N42">
        <f t="shared" si="7"/>
        <v>931478437.5</v>
      </c>
      <c r="O42">
        <f t="shared" si="8"/>
        <v>189364185.89088461</v>
      </c>
    </row>
    <row r="43" spans="1:15" x14ac:dyDescent="0.25">
      <c r="A43">
        <v>2039</v>
      </c>
      <c r="C43" s="1">
        <f>1/(1+$D$3)^23</f>
        <v>0.18909331573753083</v>
      </c>
      <c r="E43">
        <v>225000</v>
      </c>
      <c r="F43">
        <f t="shared" si="1"/>
        <v>246375000</v>
      </c>
      <c r="G43">
        <f t="shared" si="2"/>
        <v>131400000</v>
      </c>
      <c r="H43">
        <f t="shared" si="3"/>
        <v>218452500</v>
      </c>
      <c r="I43">
        <f t="shared" si="10"/>
        <v>685743750</v>
      </c>
      <c r="J43">
        <f t="shared" si="4"/>
        <v>1281971250</v>
      </c>
      <c r="K43">
        <f t="shared" si="9"/>
        <v>40000000</v>
      </c>
      <c r="L43">
        <f t="shared" si="5"/>
        <v>1241971250</v>
      </c>
      <c r="M43">
        <f t="shared" si="6"/>
        <v>310492812.5</v>
      </c>
      <c r="N43">
        <f t="shared" si="7"/>
        <v>931478437.5</v>
      </c>
      <c r="O43">
        <f t="shared" si="8"/>
        <v>176136346.28488937</v>
      </c>
    </row>
    <row r="44" spans="1:15" x14ac:dyDescent="0.25">
      <c r="A44">
        <v>2040</v>
      </c>
      <c r="C44" s="1">
        <f>1/(1+$D$3)^24</f>
        <v>0.17588439748630907</v>
      </c>
      <c r="E44">
        <v>225000</v>
      </c>
      <c r="F44">
        <f t="shared" si="1"/>
        <v>246375000</v>
      </c>
      <c r="G44">
        <f t="shared" si="2"/>
        <v>131400000</v>
      </c>
      <c r="H44">
        <f t="shared" si="3"/>
        <v>218452500</v>
      </c>
      <c r="I44">
        <f t="shared" si="10"/>
        <v>685743750</v>
      </c>
      <c r="J44">
        <f t="shared" si="4"/>
        <v>1281971250</v>
      </c>
      <c r="K44">
        <f t="shared" si="9"/>
        <v>40000000</v>
      </c>
      <c r="L44">
        <f t="shared" si="5"/>
        <v>1241971250</v>
      </c>
      <c r="M44">
        <f t="shared" si="6"/>
        <v>310492812.5</v>
      </c>
      <c r="N44">
        <f t="shared" si="7"/>
        <v>931478437.5</v>
      </c>
      <c r="O44">
        <f t="shared" si="8"/>
        <v>163832523.75117612</v>
      </c>
    </row>
    <row r="45" spans="1:15" x14ac:dyDescent="0.25">
      <c r="A45">
        <v>2041</v>
      </c>
      <c r="C45" s="1">
        <f>1/(1+$D$3)^25</f>
        <v>0.16359817457567583</v>
      </c>
      <c r="E45">
        <v>225000</v>
      </c>
      <c r="F45">
        <f t="shared" si="1"/>
        <v>246375000</v>
      </c>
      <c r="G45">
        <f t="shared" si="2"/>
        <v>131400000</v>
      </c>
      <c r="H45">
        <f t="shared" si="3"/>
        <v>218452500</v>
      </c>
      <c r="I45">
        <f t="shared" si="10"/>
        <v>685743750</v>
      </c>
      <c r="J45">
        <f t="shared" si="4"/>
        <v>1281971250</v>
      </c>
      <c r="K45">
        <f t="shared" si="9"/>
        <v>40000000</v>
      </c>
      <c r="L45">
        <f t="shared" si="5"/>
        <v>1241971250</v>
      </c>
      <c r="M45">
        <f t="shared" si="6"/>
        <v>310492812.5</v>
      </c>
      <c r="N45">
        <f t="shared" si="7"/>
        <v>931478437.5</v>
      </c>
      <c r="O45">
        <f t="shared" si="8"/>
        <v>152388172.03160274</v>
      </c>
    </row>
    <row r="46" spans="1:15" x14ac:dyDescent="0.25">
      <c r="A46">
        <v>2042</v>
      </c>
      <c r="C46" s="1">
        <f>1/(1+$D$3)^26</f>
        <v>0.15217019307569138</v>
      </c>
      <c r="E46">
        <v>225000</v>
      </c>
      <c r="F46">
        <f t="shared" si="1"/>
        <v>246375000</v>
      </c>
      <c r="G46">
        <f t="shared" si="2"/>
        <v>131400000</v>
      </c>
      <c r="H46">
        <f t="shared" si="3"/>
        <v>218452500</v>
      </c>
      <c r="I46">
        <f t="shared" si="10"/>
        <v>685743750</v>
      </c>
      <c r="J46">
        <f t="shared" si="4"/>
        <v>1281971250</v>
      </c>
      <c r="K46">
        <f t="shared" si="9"/>
        <v>40000000</v>
      </c>
      <c r="L46">
        <f t="shared" si="5"/>
        <v>1241971250</v>
      </c>
      <c r="M46">
        <f t="shared" si="6"/>
        <v>310492812.5</v>
      </c>
      <c r="N46">
        <f t="shared" si="7"/>
        <v>931478437.5</v>
      </c>
      <c r="O46">
        <f t="shared" si="8"/>
        <v>141743253.68021834</v>
      </c>
    </row>
    <row r="47" spans="1:15" x14ac:dyDescent="0.25">
      <c r="A47">
        <v>2043</v>
      </c>
      <c r="C47" s="1">
        <f>1/(1+$D$3)^27</f>
        <v>0.14154050141911581</v>
      </c>
      <c r="E47">
        <v>225000</v>
      </c>
      <c r="F47">
        <f t="shared" si="1"/>
        <v>246375000</v>
      </c>
      <c r="G47">
        <f t="shared" si="2"/>
        <v>131400000</v>
      </c>
      <c r="H47">
        <f t="shared" si="3"/>
        <v>218452500</v>
      </c>
      <c r="I47">
        <f t="shared" si="10"/>
        <v>685743750</v>
      </c>
      <c r="J47">
        <f t="shared" si="4"/>
        <v>1281971250</v>
      </c>
      <c r="K47">
        <f t="shared" si="9"/>
        <v>40000000</v>
      </c>
      <c r="L47">
        <f t="shared" si="5"/>
        <v>1241971250</v>
      </c>
      <c r="M47">
        <f t="shared" si="6"/>
        <v>310492812.5</v>
      </c>
      <c r="N47">
        <f t="shared" si="7"/>
        <v>931478437.5</v>
      </c>
      <c r="O47">
        <f t="shared" si="8"/>
        <v>131841925.10484453</v>
      </c>
    </row>
    <row r="48" spans="1:15" x14ac:dyDescent="0.25">
      <c r="A48">
        <v>2044</v>
      </c>
      <c r="C48" s="1">
        <f>1/(1+$D$3)^28</f>
        <v>0.13165333589351297</v>
      </c>
      <c r="E48">
        <v>225000</v>
      </c>
      <c r="F48">
        <f t="shared" si="1"/>
        <v>246375000</v>
      </c>
      <c r="G48">
        <f t="shared" si="2"/>
        <v>131400000</v>
      </c>
      <c r="H48">
        <f t="shared" si="3"/>
        <v>218452500</v>
      </c>
      <c r="I48">
        <f t="shared" si="10"/>
        <v>685743750</v>
      </c>
      <c r="J48">
        <f t="shared" si="4"/>
        <v>1281971250</v>
      </c>
      <c r="K48">
        <f t="shared" si="9"/>
        <v>40000000</v>
      </c>
      <c r="L48">
        <f t="shared" si="5"/>
        <v>1241971250</v>
      </c>
      <c r="M48">
        <f t="shared" si="6"/>
        <v>310492812.5</v>
      </c>
      <c r="N48">
        <f t="shared" si="7"/>
        <v>931478437.5</v>
      </c>
      <c r="O48">
        <f t="shared" si="8"/>
        <v>122632243.60975213</v>
      </c>
    </row>
    <row r="49" spans="1:15" x14ac:dyDescent="0.25">
      <c r="A49">
        <v>2045</v>
      </c>
      <c r="C49" s="1">
        <f>1/(1+$D$3)^29</f>
        <v>0.12245682810297927</v>
      </c>
      <c r="E49">
        <v>225000</v>
      </c>
      <c r="F49">
        <f t="shared" si="1"/>
        <v>246375000</v>
      </c>
      <c r="G49">
        <f t="shared" si="2"/>
        <v>131400000</v>
      </c>
      <c r="H49">
        <f t="shared" si="3"/>
        <v>218452500</v>
      </c>
      <c r="I49">
        <f t="shared" si="10"/>
        <v>685743750</v>
      </c>
      <c r="J49">
        <f t="shared" si="4"/>
        <v>1281971250</v>
      </c>
      <c r="K49">
        <f t="shared" si="9"/>
        <v>40000000</v>
      </c>
      <c r="L49">
        <f t="shared" si="5"/>
        <v>1241971250</v>
      </c>
      <c r="M49">
        <f t="shared" si="6"/>
        <v>310492812.5</v>
      </c>
      <c r="N49">
        <f t="shared" si="7"/>
        <v>931478437.5</v>
      </c>
      <c r="O49">
        <f t="shared" si="8"/>
        <v>114065894.90256922</v>
      </c>
    </row>
    <row r="50" spans="1:15" x14ac:dyDescent="0.25">
      <c r="A50">
        <v>2046</v>
      </c>
      <c r="C50" s="1">
        <f>1/(1+$D$3)^30</f>
        <v>0.11390273286483049</v>
      </c>
      <c r="E50">
        <v>225000</v>
      </c>
      <c r="F50">
        <f t="shared" si="1"/>
        <v>246375000</v>
      </c>
      <c r="G50">
        <f t="shared" si="2"/>
        <v>131400000</v>
      </c>
      <c r="H50">
        <f t="shared" si="3"/>
        <v>218452500</v>
      </c>
      <c r="I50">
        <f t="shared" si="10"/>
        <v>685743750</v>
      </c>
      <c r="J50">
        <f t="shared" si="4"/>
        <v>1281971250</v>
      </c>
      <c r="K50">
        <f t="shared" si="9"/>
        <v>40000000</v>
      </c>
      <c r="L50">
        <f t="shared" si="5"/>
        <v>1241971250</v>
      </c>
      <c r="M50">
        <f t="shared" si="6"/>
        <v>310492812.5</v>
      </c>
      <c r="N50">
        <f t="shared" si="7"/>
        <v>931478437.5</v>
      </c>
      <c r="O50">
        <f t="shared" si="8"/>
        <v>106097939.63591221</v>
      </c>
    </row>
    <row r="51" spans="1:15" x14ac:dyDescent="0.25">
      <c r="A51">
        <v>2047</v>
      </c>
      <c r="C51" s="1">
        <f>1/(1+$D$3)^31</f>
        <v>0.10594617511378522</v>
      </c>
      <c r="E51">
        <v>225000</v>
      </c>
      <c r="F51">
        <f t="shared" si="1"/>
        <v>246375000</v>
      </c>
      <c r="G51">
        <f t="shared" si="2"/>
        <v>131400000</v>
      </c>
      <c r="H51">
        <f t="shared" si="3"/>
        <v>218452500</v>
      </c>
      <c r="I51">
        <f t="shared" si="10"/>
        <v>685743750</v>
      </c>
      <c r="J51">
        <f t="shared" si="4"/>
        <v>1281971250</v>
      </c>
      <c r="K51">
        <f t="shared" si="9"/>
        <v>40000000</v>
      </c>
      <c r="L51">
        <f t="shared" si="5"/>
        <v>1241971250</v>
      </c>
      <c r="M51">
        <f t="shared" si="6"/>
        <v>310492812.5</v>
      </c>
      <c r="N51">
        <f t="shared" si="7"/>
        <v>931478437.5</v>
      </c>
      <c r="O51">
        <f t="shared" si="8"/>
        <v>98686577.654090047</v>
      </c>
    </row>
    <row r="52" spans="1:15" x14ac:dyDescent="0.25">
      <c r="A52">
        <v>2048</v>
      </c>
      <c r="C52" s="1">
        <f>1/(1+$D$3)^32</f>
        <v>9.8545414485894531E-2</v>
      </c>
      <c r="E52">
        <v>225000</v>
      </c>
      <c r="F52">
        <f t="shared" si="1"/>
        <v>246375000</v>
      </c>
      <c r="G52">
        <f t="shared" si="2"/>
        <v>131400000</v>
      </c>
      <c r="H52">
        <f t="shared" si="3"/>
        <v>218452500</v>
      </c>
      <c r="I52">
        <f t="shared" si="10"/>
        <v>685743750</v>
      </c>
      <c r="J52">
        <f t="shared" si="4"/>
        <v>1281971250</v>
      </c>
      <c r="K52">
        <f t="shared" si="9"/>
        <v>40000000</v>
      </c>
      <c r="L52">
        <f t="shared" si="5"/>
        <v>1241971250</v>
      </c>
      <c r="M52">
        <f t="shared" si="6"/>
        <v>310492812.5</v>
      </c>
      <c r="N52">
        <f t="shared" si="7"/>
        <v>931478437.5</v>
      </c>
      <c r="O52">
        <f t="shared" si="8"/>
        <v>91792928.708110899</v>
      </c>
    </row>
    <row r="53" spans="1:15" x14ac:dyDescent="0.25">
      <c r="A53">
        <v>2049</v>
      </c>
      <c r="C53" s="1">
        <f>1/(1+$D$3)^33</f>
        <v>9.1661626347218431E-2</v>
      </c>
      <c r="E53">
        <v>225000</v>
      </c>
      <c r="F53">
        <f t="shared" si="1"/>
        <v>246375000</v>
      </c>
      <c r="G53">
        <f t="shared" si="2"/>
        <v>131400000</v>
      </c>
      <c r="H53">
        <f t="shared" si="3"/>
        <v>218452500</v>
      </c>
      <c r="I53">
        <f t="shared" si="10"/>
        <v>685743750</v>
      </c>
      <c r="J53">
        <f t="shared" si="4"/>
        <v>1281971250</v>
      </c>
      <c r="K53">
        <f t="shared" si="9"/>
        <v>40000000</v>
      </c>
      <c r="L53">
        <f t="shared" si="5"/>
        <v>1241971250</v>
      </c>
      <c r="M53">
        <f t="shared" si="6"/>
        <v>310492812.5</v>
      </c>
      <c r="N53">
        <f t="shared" si="7"/>
        <v>931478437.5</v>
      </c>
      <c r="O53">
        <f t="shared" si="8"/>
        <v>85380828.488615856</v>
      </c>
    </row>
    <row r="54" spans="1:15" x14ac:dyDescent="0.25">
      <c r="A54">
        <v>2050</v>
      </c>
      <c r="C54" s="1">
        <f>1/(1+$D$3)^34</f>
        <v>8.5258698118517759E-2</v>
      </c>
      <c r="E54">
        <v>225000</v>
      </c>
      <c r="F54">
        <f t="shared" si="1"/>
        <v>246375000</v>
      </c>
      <c r="G54">
        <f t="shared" si="2"/>
        <v>131400000</v>
      </c>
      <c r="H54">
        <f t="shared" si="3"/>
        <v>218452500</v>
      </c>
      <c r="I54">
        <f t="shared" si="10"/>
        <v>685743750</v>
      </c>
      <c r="J54">
        <f t="shared" si="4"/>
        <v>1281971250</v>
      </c>
      <c r="K54">
        <f t="shared" si="9"/>
        <v>40000000</v>
      </c>
      <c r="L54">
        <f t="shared" si="5"/>
        <v>1241971250</v>
      </c>
      <c r="M54">
        <f t="shared" si="6"/>
        <v>310492812.5</v>
      </c>
      <c r="N54">
        <f t="shared" si="7"/>
        <v>931478437.5</v>
      </c>
      <c r="O54">
        <f t="shared" si="8"/>
        <v>79416638.906721115</v>
      </c>
    </row>
    <row r="55" spans="1:15" x14ac:dyDescent="0.25">
      <c r="A55">
        <v>2051</v>
      </c>
      <c r="C55" s="1">
        <f>1/(1+$D$3)^35</f>
        <v>7.9303039827474414E-2</v>
      </c>
      <c r="E55">
        <v>225000</v>
      </c>
      <c r="F55">
        <f t="shared" si="1"/>
        <v>246375000</v>
      </c>
      <c r="G55">
        <f t="shared" si="2"/>
        <v>131400000</v>
      </c>
      <c r="H55">
        <f t="shared" si="3"/>
        <v>218452500</v>
      </c>
      <c r="I55">
        <f t="shared" si="10"/>
        <v>685743750</v>
      </c>
      <c r="J55">
        <f t="shared" si="4"/>
        <v>1281971250</v>
      </c>
      <c r="K55">
        <f t="shared" si="9"/>
        <v>40000000</v>
      </c>
      <c r="L55">
        <f t="shared" si="5"/>
        <v>1241971250</v>
      </c>
      <c r="M55">
        <f t="shared" si="6"/>
        <v>310492812.5</v>
      </c>
      <c r="N55">
        <f t="shared" si="7"/>
        <v>931478437.5</v>
      </c>
      <c r="O55">
        <f t="shared" si="8"/>
        <v>73869071.627496138</v>
      </c>
    </row>
    <row r="57" spans="1:15" x14ac:dyDescent="0.25">
      <c r="M57" t="s">
        <v>32</v>
      </c>
      <c r="O57">
        <f>SUM(O26:O55)</f>
        <v>4618481292.3711596</v>
      </c>
    </row>
    <row r="58" spans="1:15" x14ac:dyDescent="0.25">
      <c r="M58" t="s">
        <v>33</v>
      </c>
      <c r="O58">
        <f>SUM(D20:D26)</f>
        <v>4181305909.4268589</v>
      </c>
    </row>
    <row r="59" spans="1:15" x14ac:dyDescent="0.25">
      <c r="M59" t="s">
        <v>34</v>
      </c>
      <c r="O59">
        <f>+O57-O58</f>
        <v>437175382.94430065</v>
      </c>
    </row>
    <row r="60" spans="1:15" x14ac:dyDescent="0.25">
      <c r="M60" t="s">
        <v>40</v>
      </c>
      <c r="O60">
        <f>+O57/O58</f>
        <v>1.1045547473478747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workbookViewId="0"/>
  </sheetViews>
  <sheetFormatPr defaultRowHeight="15" x14ac:dyDescent="0.25"/>
  <cols>
    <col min="2" max="2" width="13.5703125" customWidth="1"/>
    <col min="3" max="3" width="14.85546875" style="1" customWidth="1"/>
    <col min="4" max="5" width="15.42578125" customWidth="1"/>
    <col min="6" max="6" width="13.85546875" customWidth="1"/>
    <col min="7" max="7" width="13" customWidth="1"/>
    <col min="8" max="8" width="12.7109375" customWidth="1"/>
    <col min="9" max="10" width="12.42578125" customWidth="1"/>
    <col min="11" max="11" width="11.85546875" customWidth="1"/>
    <col min="12" max="13" width="12.7109375" customWidth="1"/>
    <col min="14" max="14" width="11.140625" customWidth="1"/>
    <col min="15" max="16" width="10.85546875" customWidth="1"/>
    <col min="17" max="17" width="12.7109375" customWidth="1"/>
  </cols>
  <sheetData>
    <row r="1" spans="1:7" x14ac:dyDescent="0.25">
      <c r="A1" t="s">
        <v>0</v>
      </c>
    </row>
    <row r="3" spans="1:7" x14ac:dyDescent="0.25">
      <c r="A3" t="s">
        <v>1</v>
      </c>
      <c r="D3">
        <v>7.51E-2</v>
      </c>
    </row>
    <row r="4" spans="1:7" x14ac:dyDescent="0.25">
      <c r="A4" t="s">
        <v>2</v>
      </c>
      <c r="D4" s="2">
        <f>+((1+D3)*(1+D5))-1</f>
        <v>9.6601999999999855E-2</v>
      </c>
      <c r="E4" s="2"/>
    </row>
    <row r="5" spans="1:7" x14ac:dyDescent="0.25">
      <c r="A5" t="s">
        <v>3</v>
      </c>
      <c r="D5">
        <v>0.02</v>
      </c>
    </row>
    <row r="6" spans="1:7" x14ac:dyDescent="0.25">
      <c r="A6" t="s">
        <v>4</v>
      </c>
      <c r="D6">
        <v>5</v>
      </c>
    </row>
    <row r="7" spans="1:7" x14ac:dyDescent="0.25">
      <c r="A7" t="s">
        <v>5</v>
      </c>
      <c r="D7">
        <v>8</v>
      </c>
    </row>
    <row r="8" spans="1:7" x14ac:dyDescent="0.25">
      <c r="A8" t="s">
        <v>6</v>
      </c>
      <c r="D8">
        <v>13.3</v>
      </c>
    </row>
    <row r="9" spans="1:7" x14ac:dyDescent="0.25">
      <c r="A9" t="s">
        <v>7</v>
      </c>
      <c r="D9">
        <v>0.25</v>
      </c>
    </row>
    <row r="10" spans="1:7" x14ac:dyDescent="0.25">
      <c r="A10" t="s">
        <v>36</v>
      </c>
      <c r="D10">
        <v>0.6</v>
      </c>
    </row>
    <row r="11" spans="1:7" x14ac:dyDescent="0.25">
      <c r="A11" t="s">
        <v>37</v>
      </c>
      <c r="D11">
        <v>0.2</v>
      </c>
    </row>
    <row r="12" spans="1:7" x14ac:dyDescent="0.25">
      <c r="A12" t="s">
        <v>38</v>
      </c>
      <c r="D12">
        <v>0.2</v>
      </c>
    </row>
    <row r="14" spans="1:7" x14ac:dyDescent="0.25">
      <c r="A14" t="s">
        <v>8</v>
      </c>
      <c r="D14">
        <v>1</v>
      </c>
      <c r="G14" t="s">
        <v>11</v>
      </c>
    </row>
    <row r="15" spans="1:7" x14ac:dyDescent="0.25">
      <c r="A15" t="s">
        <v>9</v>
      </c>
      <c r="D15">
        <v>1</v>
      </c>
      <c r="G15" t="s">
        <v>11</v>
      </c>
    </row>
    <row r="16" spans="1:7" x14ac:dyDescent="0.25">
      <c r="A16" t="s">
        <v>10</v>
      </c>
      <c r="D16">
        <v>1</v>
      </c>
      <c r="G16" t="s">
        <v>11</v>
      </c>
    </row>
    <row r="18" spans="1:18" x14ac:dyDescent="0.25">
      <c r="A18" t="s">
        <v>11</v>
      </c>
      <c r="B18" t="s">
        <v>15</v>
      </c>
      <c r="D18" t="s">
        <v>16</v>
      </c>
      <c r="E18" t="s">
        <v>43</v>
      </c>
      <c r="G18" t="s">
        <v>18</v>
      </c>
      <c r="H18" t="s">
        <v>20</v>
      </c>
      <c r="I18" t="s">
        <v>21</v>
      </c>
      <c r="J18" t="s">
        <v>35</v>
      </c>
      <c r="K18" t="s">
        <v>22</v>
      </c>
      <c r="L18" t="s">
        <v>23</v>
      </c>
      <c r="M18" t="s">
        <v>45</v>
      </c>
      <c r="N18" t="s">
        <v>25</v>
      </c>
      <c r="O18" t="s">
        <v>26</v>
      </c>
      <c r="P18" t="s">
        <v>28</v>
      </c>
      <c r="Q18" t="s">
        <v>30</v>
      </c>
      <c r="R18" t="s">
        <v>41</v>
      </c>
    </row>
    <row r="19" spans="1:18" x14ac:dyDescent="0.25">
      <c r="A19" t="s">
        <v>12</v>
      </c>
      <c r="B19" t="s">
        <v>14</v>
      </c>
      <c r="C19" s="1" t="s">
        <v>13</v>
      </c>
      <c r="D19" t="s">
        <v>17</v>
      </c>
      <c r="E19" t="s">
        <v>44</v>
      </c>
      <c r="F19" t="s">
        <v>39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24</v>
      </c>
      <c r="M19" t="s">
        <v>46</v>
      </c>
      <c r="N19" t="s">
        <v>26</v>
      </c>
      <c r="O19" t="s">
        <v>27</v>
      </c>
      <c r="P19" t="s">
        <v>29</v>
      </c>
      <c r="Q19" t="s">
        <v>31</v>
      </c>
      <c r="R19" t="s">
        <v>42</v>
      </c>
    </row>
    <row r="20" spans="1:18" x14ac:dyDescent="0.25">
      <c r="A20">
        <v>2016</v>
      </c>
      <c r="B20">
        <v>0</v>
      </c>
      <c r="C20" s="1">
        <f>1/(1+$D$4)^0</f>
        <v>1</v>
      </c>
      <c r="D20">
        <f>+E20*C20</f>
        <v>0</v>
      </c>
      <c r="E20">
        <f>+B20*R20</f>
        <v>0</v>
      </c>
      <c r="R20">
        <f>+(1+$D$5)^0</f>
        <v>1</v>
      </c>
    </row>
    <row r="21" spans="1:18" x14ac:dyDescent="0.25">
      <c r="A21">
        <v>2017</v>
      </c>
      <c r="B21">
        <v>0</v>
      </c>
      <c r="C21" s="1">
        <f>1/(1+$D$4)^1</f>
        <v>0.91190787541879381</v>
      </c>
      <c r="D21">
        <f>+E21*C21</f>
        <v>0</v>
      </c>
      <c r="E21">
        <f t="shared" ref="E21:E26" si="0">+B21*R21</f>
        <v>0</v>
      </c>
      <c r="R21">
        <f>+(1+$D$5)^1</f>
        <v>1.02</v>
      </c>
    </row>
    <row r="22" spans="1:18" x14ac:dyDescent="0.25">
      <c r="A22">
        <v>2018</v>
      </c>
      <c r="B22">
        <v>800000000</v>
      </c>
      <c r="C22" s="1">
        <f>1/(1+$D$4)^2</f>
        <v>0.83157597325081833</v>
      </c>
      <c r="D22">
        <f>+E22*C22</f>
        <v>692137314.05612111</v>
      </c>
      <c r="E22">
        <f t="shared" si="0"/>
        <v>832320000</v>
      </c>
      <c r="R22">
        <f>+(1+$D$5)^2</f>
        <v>1.0404</v>
      </c>
    </row>
    <row r="23" spans="1:18" x14ac:dyDescent="0.25">
      <c r="A23">
        <v>2019</v>
      </c>
      <c r="B23">
        <v>1500000000</v>
      </c>
      <c r="C23" s="1">
        <f>1/(1+$D$4)^3</f>
        <v>0.75832067901646938</v>
      </c>
      <c r="D23">
        <f t="shared" ref="D23:D26" si="1">+E23*C23</f>
        <v>1207103956.7065642</v>
      </c>
      <c r="E23">
        <f t="shared" si="0"/>
        <v>1591812000</v>
      </c>
      <c r="R23">
        <f>+(1+$D$5)^3</f>
        <v>1.0612079999999999</v>
      </c>
    </row>
    <row r="24" spans="1:18" x14ac:dyDescent="0.25">
      <c r="A24">
        <v>2020</v>
      </c>
      <c r="B24">
        <v>1500000000</v>
      </c>
      <c r="C24" s="1">
        <f>1/(1+$D$4)^4</f>
        <v>0.69151859928804571</v>
      </c>
      <c r="D24">
        <f t="shared" si="1"/>
        <v>1122782956.6613007</v>
      </c>
      <c r="E24">
        <f t="shared" si="0"/>
        <v>1623648240</v>
      </c>
      <c r="R24">
        <f>+(1+$D$5)^4</f>
        <v>1.08243216</v>
      </c>
    </row>
    <row r="25" spans="1:18" x14ac:dyDescent="0.25">
      <c r="A25">
        <v>2021</v>
      </c>
      <c r="B25">
        <v>1200000000</v>
      </c>
      <c r="C25" s="1">
        <f>1/(1+$D$4)^5</f>
        <v>0.63060125668934208</v>
      </c>
      <c r="D25">
        <f t="shared" si="1"/>
        <v>835481690.38139772</v>
      </c>
      <c r="E25">
        <f t="shared" si="0"/>
        <v>1324896963.8399999</v>
      </c>
      <c r="R25">
        <f>+(1+$D$5)^5</f>
        <v>1.1040808032</v>
      </c>
    </row>
    <row r="26" spans="1:18" x14ac:dyDescent="0.25">
      <c r="A26">
        <v>2022</v>
      </c>
      <c r="B26">
        <v>500000000</v>
      </c>
      <c r="C26" s="1">
        <f>1/(1+$D$4)^6</f>
        <v>0.5750502522239993</v>
      </c>
      <c r="D26">
        <f t="shared" si="1"/>
        <v>323799991.62147629</v>
      </c>
      <c r="E26">
        <f t="shared" si="0"/>
        <v>563081209.63200009</v>
      </c>
      <c r="F26">
        <v>180000</v>
      </c>
      <c r="G26">
        <f>+(($D$6*$D$14*R26)*(365*($D$10*F26*$D$15)))</f>
        <v>221966612.83693442</v>
      </c>
      <c r="H26">
        <f>+(($D$7*$D$14*R26)*(365*($D$11*F26*$D$15)))</f>
        <v>118382193.51303169</v>
      </c>
      <c r="I26">
        <f>+(($D$8*$D$14*R26)*(365*($D$12*F26*$D$15)))</f>
        <v>196810396.71541518</v>
      </c>
      <c r="K26">
        <f>+G26+H26+I26+J26</f>
        <v>537159203.06538129</v>
      </c>
      <c r="L26">
        <f>20000000*$D$16</f>
        <v>20000000</v>
      </c>
      <c r="M26">
        <f>+L26*R26</f>
        <v>22523248.385280002</v>
      </c>
      <c r="N26">
        <f>+K26-M26</f>
        <v>514635954.68010128</v>
      </c>
      <c r="O26">
        <f>+N26*$D$9</f>
        <v>128658988.67002532</v>
      </c>
      <c r="P26">
        <f>+N26-O26</f>
        <v>385976966.01007593</v>
      </c>
      <c r="Q26">
        <f>+P26*C26</f>
        <v>221956151.65674818</v>
      </c>
      <c r="R26">
        <f>+(1+$D$5)^6</f>
        <v>1.1261624192640001</v>
      </c>
    </row>
    <row r="27" spans="1:18" x14ac:dyDescent="0.25">
      <c r="A27">
        <v>2023</v>
      </c>
      <c r="C27" s="1">
        <f>1/(1+$D$4)^7</f>
        <v>0.52439285376462874</v>
      </c>
      <c r="F27">
        <v>190000</v>
      </c>
      <c r="G27">
        <f t="shared" ref="G27:G55" si="2">+(($D$6*$D$14*R27)*(365*($D$10*F27*$D$15)))</f>
        <v>238984053.15443268</v>
      </c>
      <c r="H27">
        <f t="shared" ref="H27:H55" si="3">+(($D$7*$D$14*R27)*(365*($D$11*F27*$D$15)))</f>
        <v>127458161.68236409</v>
      </c>
      <c r="I27">
        <f t="shared" ref="I27:I55" si="4">+(($D$8*$D$14*R27)*(365*($D$12*F27*$D$15)))</f>
        <v>211899193.79693028</v>
      </c>
      <c r="K27">
        <f t="shared" ref="K27:K55" si="5">+G27+H27+I27+J27</f>
        <v>578341408.63372707</v>
      </c>
      <c r="L27">
        <f>25000000*$D$16</f>
        <v>25000000</v>
      </c>
      <c r="M27">
        <f t="shared" ref="M27:M55" si="6">+L27*R27</f>
        <v>28717141.691231996</v>
      </c>
      <c r="N27">
        <f t="shared" ref="N27:N55" si="7">+K27-M27</f>
        <v>549624266.94249511</v>
      </c>
      <c r="O27">
        <f t="shared" ref="O27:O55" si="8">+N27*$D$9</f>
        <v>137406066.73562378</v>
      </c>
      <c r="P27">
        <f t="shared" ref="P27:P55" si="9">+N27-O27</f>
        <v>412218200.20687133</v>
      </c>
      <c r="Q27">
        <f t="shared" ref="Q27:Q55" si="10">+P27*C27</f>
        <v>216164278.38020033</v>
      </c>
      <c r="R27">
        <f>+(1+$D$5)^7</f>
        <v>1.1486856676492798</v>
      </c>
    </row>
    <row r="28" spans="1:18" x14ac:dyDescent="0.25">
      <c r="A28">
        <v>2024</v>
      </c>
      <c r="C28" s="1">
        <f>1/(1+$D$4)^8</f>
        <v>0.47819797316130075</v>
      </c>
      <c r="F28">
        <v>200000</v>
      </c>
      <c r="G28">
        <f t="shared" si="2"/>
        <v>256593404.43949613</v>
      </c>
      <c r="H28">
        <f t="shared" si="3"/>
        <v>136849815.70106462</v>
      </c>
      <c r="I28">
        <f t="shared" si="4"/>
        <v>227512818.60301992</v>
      </c>
      <c r="K28">
        <f t="shared" si="5"/>
        <v>620956038.7435807</v>
      </c>
      <c r="L28">
        <f>30000000*$D$16</f>
        <v>30000000</v>
      </c>
      <c r="M28">
        <f t="shared" si="6"/>
        <v>35149781.430067964</v>
      </c>
      <c r="N28">
        <f t="shared" si="7"/>
        <v>585806257.31351268</v>
      </c>
      <c r="O28">
        <f t="shared" si="8"/>
        <v>146451564.32837817</v>
      </c>
      <c r="P28">
        <f t="shared" si="9"/>
        <v>439354692.98513448</v>
      </c>
      <c r="Q28">
        <f t="shared" si="10"/>
        <v>210098523.68439686</v>
      </c>
      <c r="R28">
        <f>+(1+$D$5)^8</f>
        <v>1.1716593810022655</v>
      </c>
    </row>
    <row r="29" spans="1:18" x14ac:dyDescent="0.25">
      <c r="A29">
        <v>2025</v>
      </c>
      <c r="C29" s="1">
        <f>1/(1+$D$4)^9</f>
        <v>0.43607249773509521</v>
      </c>
      <c r="F29">
        <v>210000</v>
      </c>
      <c r="G29">
        <f t="shared" si="2"/>
        <v>274811536.1547004</v>
      </c>
      <c r="H29">
        <f t="shared" si="3"/>
        <v>146566152.6158402</v>
      </c>
      <c r="I29">
        <f t="shared" si="4"/>
        <v>243666228.72383434</v>
      </c>
      <c r="K29">
        <f t="shared" si="5"/>
        <v>665043917.49437499</v>
      </c>
      <c r="L29">
        <f>35000000*$D$16</f>
        <v>35000000</v>
      </c>
      <c r="M29">
        <f t="shared" si="6"/>
        <v>41828239.901780881</v>
      </c>
      <c r="N29">
        <f t="shared" si="7"/>
        <v>623215677.59259415</v>
      </c>
      <c r="O29">
        <f t="shared" si="8"/>
        <v>155803919.39814854</v>
      </c>
      <c r="P29">
        <f t="shared" si="9"/>
        <v>467411758.19444561</v>
      </c>
      <c r="Q29">
        <f t="shared" si="10"/>
        <v>203825412.86660424</v>
      </c>
      <c r="R29">
        <f>+(1+$D$5)^9</f>
        <v>1.1950925686223108</v>
      </c>
    </row>
    <row r="30" spans="1:18" x14ac:dyDescent="0.25">
      <c r="A30">
        <v>2026</v>
      </c>
      <c r="C30" s="1">
        <f>1/(1+$D$4)^10</f>
        <v>0.39765794493817741</v>
      </c>
      <c r="F30">
        <v>220000</v>
      </c>
      <c r="G30">
        <f t="shared" si="2"/>
        <v>293655755.77673703</v>
      </c>
      <c r="H30">
        <f t="shared" si="3"/>
        <v>156616403.08092639</v>
      </c>
      <c r="I30">
        <f t="shared" si="4"/>
        <v>260374770.12204015</v>
      </c>
      <c r="K30">
        <f t="shared" si="5"/>
        <v>710646928.97970355</v>
      </c>
      <c r="L30">
        <f>40000000*$D$16</f>
        <v>40000000</v>
      </c>
      <c r="M30">
        <f t="shared" si="6"/>
        <v>48759776.799790286</v>
      </c>
      <c r="N30">
        <f t="shared" si="7"/>
        <v>661887152.17991328</v>
      </c>
      <c r="O30">
        <f t="shared" si="8"/>
        <v>165471788.04497832</v>
      </c>
      <c r="P30">
        <f t="shared" si="9"/>
        <v>496415364.13493496</v>
      </c>
      <c r="Q30">
        <f t="shared" si="10"/>
        <v>197403513.53763527</v>
      </c>
      <c r="R30">
        <f>+(1+$D$5)^10</f>
        <v>1.2189944199947571</v>
      </c>
    </row>
    <row r="31" spans="1:18" x14ac:dyDescent="0.25">
      <c r="A31">
        <v>2027</v>
      </c>
      <c r="C31" s="1">
        <f>1/(1+$D$4)^11</f>
        <v>0.36262741171197704</v>
      </c>
      <c r="F31">
        <v>225000</v>
      </c>
      <c r="G31">
        <f t="shared" si="2"/>
        <v>306336345.23073238</v>
      </c>
      <c r="H31">
        <f t="shared" si="3"/>
        <v>163379384.12305728</v>
      </c>
      <c r="I31">
        <f t="shared" si="4"/>
        <v>271618226.10458273</v>
      </c>
      <c r="K31">
        <f t="shared" si="5"/>
        <v>741333955.45837235</v>
      </c>
      <c r="L31">
        <f t="shared" ref="L31:L55" si="11">40000000*$D$16</f>
        <v>40000000</v>
      </c>
      <c r="M31">
        <f t="shared" si="6"/>
        <v>49734972.335786082</v>
      </c>
      <c r="N31">
        <f t="shared" si="7"/>
        <v>691598983.12258625</v>
      </c>
      <c r="O31">
        <f t="shared" si="8"/>
        <v>172899745.78064656</v>
      </c>
      <c r="P31">
        <f t="shared" si="9"/>
        <v>518699237.34193969</v>
      </c>
      <c r="Q31">
        <f t="shared" si="10"/>
        <v>188094561.89428407</v>
      </c>
      <c r="R31">
        <f>+(1+$D$5)^11</f>
        <v>1.243374308394652</v>
      </c>
    </row>
    <row r="32" spans="1:18" x14ac:dyDescent="0.25">
      <c r="A32">
        <v>2028</v>
      </c>
      <c r="C32" s="1">
        <f>1/(1+$D$4)^12</f>
        <v>0.33068279258288519</v>
      </c>
      <c r="F32">
        <v>225000</v>
      </c>
      <c r="G32">
        <f t="shared" si="2"/>
        <v>312463072.13534707</v>
      </c>
      <c r="H32">
        <f t="shared" si="3"/>
        <v>166646971.80551845</v>
      </c>
      <c r="I32">
        <f t="shared" si="4"/>
        <v>277050590.62667441</v>
      </c>
      <c r="K32">
        <f t="shared" si="5"/>
        <v>756160634.56753993</v>
      </c>
      <c r="L32">
        <f t="shared" si="11"/>
        <v>40000000</v>
      </c>
      <c r="M32">
        <f t="shared" si="6"/>
        <v>50729671.782501809</v>
      </c>
      <c r="N32">
        <f t="shared" si="7"/>
        <v>705430962.78503811</v>
      </c>
      <c r="O32">
        <f t="shared" si="8"/>
        <v>176357740.69625953</v>
      </c>
      <c r="P32">
        <f t="shared" si="9"/>
        <v>529073222.08877861</v>
      </c>
      <c r="Q32">
        <f t="shared" si="10"/>
        <v>174955410.56114233</v>
      </c>
      <c r="R32">
        <f>+(1+$D$5)^12</f>
        <v>1.2682417945625453</v>
      </c>
    </row>
    <row r="33" spans="1:18" x14ac:dyDescent="0.25">
      <c r="A33">
        <v>2029</v>
      </c>
      <c r="C33" s="1">
        <f>1/(1+$D$4)^13</f>
        <v>0.30155224282181253</v>
      </c>
      <c r="F33">
        <v>225000</v>
      </c>
      <c r="G33">
        <f t="shared" si="2"/>
        <v>318712333.57805401</v>
      </c>
      <c r="H33">
        <f t="shared" si="3"/>
        <v>169979911.2416288</v>
      </c>
      <c r="I33">
        <f t="shared" si="4"/>
        <v>282591602.43920791</v>
      </c>
      <c r="K33">
        <f t="shared" si="5"/>
        <v>771283847.25889075</v>
      </c>
      <c r="L33">
        <f t="shared" si="11"/>
        <v>40000000</v>
      </c>
      <c r="M33">
        <f t="shared" si="6"/>
        <v>51744265.218151845</v>
      </c>
      <c r="N33">
        <f t="shared" si="7"/>
        <v>719539582.04073894</v>
      </c>
      <c r="O33">
        <f t="shared" si="8"/>
        <v>179884895.51018474</v>
      </c>
      <c r="P33">
        <f t="shared" si="9"/>
        <v>539654686.53055418</v>
      </c>
      <c r="Q33">
        <f t="shared" si="10"/>
        <v>162734081.0725908</v>
      </c>
      <c r="R33">
        <f>+(1+$D$5)^13</f>
        <v>1.2936066304537961</v>
      </c>
    </row>
    <row r="34" spans="1:18" x14ac:dyDescent="0.25">
      <c r="A34">
        <v>2030</v>
      </c>
      <c r="C34" s="1">
        <f>1/(1+$D$4)^14</f>
        <v>0.27498786507941125</v>
      </c>
      <c r="F34">
        <v>225000</v>
      </c>
      <c r="G34">
        <f t="shared" si="2"/>
        <v>325086580.24961513</v>
      </c>
      <c r="H34">
        <f t="shared" si="3"/>
        <v>173379509.46646139</v>
      </c>
      <c r="I34">
        <f t="shared" si="4"/>
        <v>288243434.48799211</v>
      </c>
      <c r="K34">
        <f t="shared" si="5"/>
        <v>786709524.20406866</v>
      </c>
      <c r="L34">
        <f t="shared" si="11"/>
        <v>40000000</v>
      </c>
      <c r="M34">
        <f t="shared" si="6"/>
        <v>52779150.522514887</v>
      </c>
      <c r="N34">
        <f t="shared" si="7"/>
        <v>733930373.68155372</v>
      </c>
      <c r="O34">
        <f t="shared" si="8"/>
        <v>183482593.42038843</v>
      </c>
      <c r="P34">
        <f t="shared" si="9"/>
        <v>550447780.26116526</v>
      </c>
      <c r="Q34">
        <f t="shared" si="10"/>
        <v>151366459.93171874</v>
      </c>
      <c r="R34">
        <f>+(1+$D$5)^14</f>
        <v>1.3194787630628722</v>
      </c>
    </row>
    <row r="35" spans="1:18" x14ac:dyDescent="0.25">
      <c r="A35">
        <v>2031</v>
      </c>
      <c r="C35" s="1">
        <f>1/(1+$D$4)^15</f>
        <v>0.25076359981051582</v>
      </c>
      <c r="F35">
        <v>225000</v>
      </c>
      <c r="G35">
        <f t="shared" si="2"/>
        <v>331588311.85460734</v>
      </c>
      <c r="H35">
        <f t="shared" si="3"/>
        <v>176847099.65579057</v>
      </c>
      <c r="I35">
        <f t="shared" si="4"/>
        <v>294008303.1777519</v>
      </c>
      <c r="K35">
        <f t="shared" si="5"/>
        <v>802443714.68814981</v>
      </c>
      <c r="L35">
        <f t="shared" si="11"/>
        <v>40000000</v>
      </c>
      <c r="M35">
        <f t="shared" si="6"/>
        <v>53834733.532965168</v>
      </c>
      <c r="N35">
        <f t="shared" si="7"/>
        <v>748608981.15518463</v>
      </c>
      <c r="O35">
        <f t="shared" si="8"/>
        <v>187152245.28879616</v>
      </c>
      <c r="P35">
        <f t="shared" si="9"/>
        <v>561456735.86638844</v>
      </c>
      <c r="Q35">
        <f t="shared" si="10"/>
        <v>140792912.22371751</v>
      </c>
      <c r="R35">
        <f>+(1+$D$5)^15</f>
        <v>1.3458683383241292</v>
      </c>
    </row>
    <row r="36" spans="1:18" x14ac:dyDescent="0.25">
      <c r="A36">
        <v>2032</v>
      </c>
      <c r="C36" s="1">
        <f>1/(1+$D$4)^16</f>
        <v>0.22867330153557613</v>
      </c>
      <c r="F36">
        <v>225000</v>
      </c>
      <c r="G36">
        <f t="shared" si="2"/>
        <v>338220078.09169954</v>
      </c>
      <c r="H36">
        <f t="shared" si="3"/>
        <v>180384041.64890641</v>
      </c>
      <c r="I36">
        <f t="shared" si="4"/>
        <v>299888469.2413069</v>
      </c>
      <c r="K36">
        <f t="shared" si="5"/>
        <v>818492588.98191285</v>
      </c>
      <c r="L36">
        <f t="shared" si="11"/>
        <v>40000000</v>
      </c>
      <c r="M36">
        <f t="shared" si="6"/>
        <v>54911428.203624479</v>
      </c>
      <c r="N36">
        <f t="shared" si="7"/>
        <v>763581160.77828836</v>
      </c>
      <c r="O36">
        <f t="shared" si="8"/>
        <v>190895290.19457209</v>
      </c>
      <c r="P36">
        <f t="shared" si="9"/>
        <v>572685870.58371627</v>
      </c>
      <c r="Q36">
        <f t="shared" si="10"/>
        <v>130957968.76915409</v>
      </c>
      <c r="R36">
        <f>+(1+$D$5)^16</f>
        <v>1.372785705090612</v>
      </c>
    </row>
    <row r="37" spans="1:18" x14ac:dyDescent="0.25">
      <c r="A37">
        <v>2033</v>
      </c>
      <c r="C37" s="1">
        <f>1/(1+$D$4)^17</f>
        <v>0.2085289845683084</v>
      </c>
      <c r="F37">
        <v>225000</v>
      </c>
      <c r="G37">
        <f t="shared" si="2"/>
        <v>344984479.65353358</v>
      </c>
      <c r="H37">
        <f t="shared" si="3"/>
        <v>183991722.48188457</v>
      </c>
      <c r="I37">
        <f t="shared" si="4"/>
        <v>305886238.62613314</v>
      </c>
      <c r="K37">
        <f t="shared" si="5"/>
        <v>834862440.76155138</v>
      </c>
      <c r="L37">
        <f t="shared" si="11"/>
        <v>40000000</v>
      </c>
      <c r="M37">
        <f t="shared" si="6"/>
        <v>56009656.767696977</v>
      </c>
      <c r="N37">
        <f t="shared" si="7"/>
        <v>778852783.9938544</v>
      </c>
      <c r="O37">
        <f t="shared" si="8"/>
        <v>194713195.9984636</v>
      </c>
      <c r="P37">
        <f t="shared" si="9"/>
        <v>584139587.99539077</v>
      </c>
      <c r="Q37">
        <f t="shared" si="10"/>
        <v>121810035.13082887</v>
      </c>
      <c r="R37">
        <f>+(1+$D$5)^17</f>
        <v>1.4002414191924244</v>
      </c>
    </row>
    <row r="38" spans="1:18" x14ac:dyDescent="0.25">
      <c r="A38">
        <v>2034</v>
      </c>
      <c r="C38" s="1">
        <f>1/(1+$D$4)^18</f>
        <v>0.19015922328092458</v>
      </c>
      <c r="F38">
        <v>225000</v>
      </c>
      <c r="G38">
        <f t="shared" si="2"/>
        <v>351884169.2466042</v>
      </c>
      <c r="H38">
        <f t="shared" si="3"/>
        <v>187671556.93152225</v>
      </c>
      <c r="I38">
        <f t="shared" si="4"/>
        <v>312003963.39865577</v>
      </c>
      <c r="K38">
        <f t="shared" si="5"/>
        <v>851559689.57678223</v>
      </c>
      <c r="L38">
        <f t="shared" si="11"/>
        <v>40000000</v>
      </c>
      <c r="M38">
        <f t="shared" si="6"/>
        <v>57129849.903050907</v>
      </c>
      <c r="N38">
        <f t="shared" si="7"/>
        <v>794429839.67373133</v>
      </c>
      <c r="O38">
        <f t="shared" si="8"/>
        <v>198607459.91843283</v>
      </c>
      <c r="P38">
        <f t="shared" si="9"/>
        <v>595822379.7552985</v>
      </c>
      <c r="Q38">
        <f t="shared" si="10"/>
        <v>113301120.94765964</v>
      </c>
      <c r="R38">
        <f>+(1+$D$5)^18</f>
        <v>1.4282462475762727</v>
      </c>
    </row>
    <row r="39" spans="1:18" x14ac:dyDescent="0.25">
      <c r="A39">
        <v>2035</v>
      </c>
      <c r="C39" s="1">
        <f>1/(1+$D$4)^19</f>
        <v>0.17340769329339595</v>
      </c>
      <c r="F39">
        <v>225000</v>
      </c>
      <c r="G39">
        <f t="shared" si="2"/>
        <v>358921852.63153625</v>
      </c>
      <c r="H39">
        <f t="shared" si="3"/>
        <v>191424988.07015267</v>
      </c>
      <c r="I39">
        <f t="shared" si="4"/>
        <v>318244042.66662884</v>
      </c>
      <c r="J39">
        <f>365*835000*2.25*R39</f>
        <v>998999156.49110925</v>
      </c>
      <c r="K39">
        <f t="shared" si="5"/>
        <v>1867590039.859427</v>
      </c>
      <c r="L39">
        <f t="shared" si="11"/>
        <v>40000000</v>
      </c>
      <c r="M39">
        <f t="shared" si="6"/>
        <v>58272446.901111923</v>
      </c>
      <c r="N39">
        <f t="shared" si="7"/>
        <v>1809317592.9583151</v>
      </c>
      <c r="O39">
        <f t="shared" si="8"/>
        <v>452329398.23957878</v>
      </c>
      <c r="P39">
        <f t="shared" si="9"/>
        <v>1356988194.7187364</v>
      </c>
      <c r="Q39">
        <f t="shared" si="10"/>
        <v>235312192.6725457</v>
      </c>
      <c r="R39">
        <f>+(1+$D$5)^19</f>
        <v>1.4568111725277981</v>
      </c>
    </row>
    <row r="40" spans="1:18" x14ac:dyDescent="0.25">
      <c r="A40">
        <v>2036</v>
      </c>
      <c r="C40" s="1">
        <f>1/(1+$D$4)^20</f>
        <v>0.15813184117245452</v>
      </c>
      <c r="F40">
        <v>225000</v>
      </c>
      <c r="G40">
        <f t="shared" si="2"/>
        <v>366100289.68416703</v>
      </c>
      <c r="H40">
        <f t="shared" si="3"/>
        <v>195253487.83155575</v>
      </c>
      <c r="I40">
        <f t="shared" si="4"/>
        <v>324608923.51996148</v>
      </c>
      <c r="J40">
        <f t="shared" ref="J40:J55" si="12">365*835000*2.25*R40</f>
        <v>1018979139.6209315</v>
      </c>
      <c r="K40">
        <f t="shared" si="5"/>
        <v>1904941840.6566157</v>
      </c>
      <c r="L40">
        <f t="shared" si="11"/>
        <v>40000000</v>
      </c>
      <c r="M40">
        <f t="shared" si="6"/>
        <v>59437895.839134172</v>
      </c>
      <c r="N40">
        <f t="shared" si="7"/>
        <v>1845503944.8174815</v>
      </c>
      <c r="O40">
        <f t="shared" si="8"/>
        <v>461375986.20437038</v>
      </c>
      <c r="P40">
        <f t="shared" si="9"/>
        <v>1384127958.613111</v>
      </c>
      <c r="Q40">
        <f t="shared" si="10"/>
        <v>218874702.51376218</v>
      </c>
      <c r="R40">
        <f>+(1+$D$5)^20</f>
        <v>1.4859473959783542</v>
      </c>
    </row>
    <row r="41" spans="1:18" x14ac:dyDescent="0.25">
      <c r="A41">
        <v>2037</v>
      </c>
      <c r="C41" s="1">
        <f>1/(1+$D$4)^21</f>
        <v>0.14420167131963516</v>
      </c>
      <c r="F41">
        <v>225000</v>
      </c>
      <c r="G41">
        <f t="shared" si="2"/>
        <v>373422295.47785032</v>
      </c>
      <c r="H41">
        <f t="shared" si="3"/>
        <v>199158557.58818686</v>
      </c>
      <c r="I41">
        <f t="shared" si="4"/>
        <v>331101101.99036068</v>
      </c>
      <c r="J41">
        <f t="shared" si="12"/>
        <v>1039358722.4133501</v>
      </c>
      <c r="K41">
        <f t="shared" si="5"/>
        <v>1943040677.469748</v>
      </c>
      <c r="L41">
        <f t="shared" si="11"/>
        <v>40000000</v>
      </c>
      <c r="M41">
        <f t="shared" si="6"/>
        <v>60626653.755916849</v>
      </c>
      <c r="N41">
        <f t="shared" si="7"/>
        <v>1882414023.7138312</v>
      </c>
      <c r="O41">
        <f t="shared" si="8"/>
        <v>470603505.9284578</v>
      </c>
      <c r="P41">
        <f t="shared" si="9"/>
        <v>1411810517.7853734</v>
      </c>
      <c r="Q41">
        <f t="shared" si="10"/>
        <v>203585436.25129035</v>
      </c>
      <c r="R41">
        <f>+(1+$D$5)^21</f>
        <v>1.5156663438979212</v>
      </c>
    </row>
    <row r="42" spans="1:18" x14ac:dyDescent="0.25">
      <c r="A42">
        <v>2038</v>
      </c>
      <c r="C42" s="1">
        <f>1/(1+$D$4)^22</f>
        <v>0.1314986397249277</v>
      </c>
      <c r="F42">
        <v>225000</v>
      </c>
      <c r="G42">
        <f t="shared" si="2"/>
        <v>380890741.38740736</v>
      </c>
      <c r="H42">
        <f t="shared" si="3"/>
        <v>203141728.7399506</v>
      </c>
      <c r="I42">
        <f t="shared" si="4"/>
        <v>337723124.03016788</v>
      </c>
      <c r="J42">
        <f t="shared" si="12"/>
        <v>1060145896.8616172</v>
      </c>
      <c r="K42">
        <f t="shared" si="5"/>
        <v>1981901491.0191431</v>
      </c>
      <c r="L42">
        <f t="shared" si="11"/>
        <v>40000000</v>
      </c>
      <c r="M42">
        <f t="shared" si="6"/>
        <v>61839186.831035189</v>
      </c>
      <c r="N42">
        <f t="shared" si="7"/>
        <v>1920062304.188108</v>
      </c>
      <c r="O42">
        <f t="shared" si="8"/>
        <v>480015576.04702699</v>
      </c>
      <c r="P42">
        <f t="shared" si="9"/>
        <v>1440046728.1410809</v>
      </c>
      <c r="Q42">
        <f t="shared" si="10"/>
        <v>189364185.89088491</v>
      </c>
      <c r="R42">
        <f>+(1+$D$5)^22</f>
        <v>1.5459796707758797</v>
      </c>
    </row>
    <row r="43" spans="1:18" x14ac:dyDescent="0.25">
      <c r="A43">
        <v>2039</v>
      </c>
      <c r="C43" s="1">
        <f>1/(1+$D$4)^23</f>
        <v>0.11991464517202022</v>
      </c>
      <c r="F43">
        <v>225000</v>
      </c>
      <c r="G43">
        <f t="shared" si="2"/>
        <v>388508556.21515542</v>
      </c>
      <c r="H43">
        <f t="shared" si="3"/>
        <v>207204563.31474957</v>
      </c>
      <c r="I43">
        <f t="shared" si="4"/>
        <v>344477586.51077116</v>
      </c>
      <c r="J43">
        <f t="shared" si="12"/>
        <v>1081348814.7988493</v>
      </c>
      <c r="K43">
        <f t="shared" si="5"/>
        <v>2021539520.8395255</v>
      </c>
      <c r="L43">
        <f t="shared" si="11"/>
        <v>40000000</v>
      </c>
      <c r="M43">
        <f t="shared" si="6"/>
        <v>63075970.567655884</v>
      </c>
      <c r="N43">
        <f t="shared" si="7"/>
        <v>1958463550.2718697</v>
      </c>
      <c r="O43">
        <f t="shared" si="8"/>
        <v>489615887.56796741</v>
      </c>
      <c r="P43">
        <f t="shared" si="9"/>
        <v>1468847662.7039022</v>
      </c>
      <c r="Q43">
        <f t="shared" si="10"/>
        <v>176136346.28488967</v>
      </c>
      <c r="R43">
        <f>+(1+$D$5)^23</f>
        <v>1.576899264191397</v>
      </c>
    </row>
    <row r="44" spans="1:18" x14ac:dyDescent="0.25">
      <c r="A44">
        <v>2040</v>
      </c>
      <c r="C44" s="1">
        <f>1/(1+$D$4)^24</f>
        <v>0.10935110931041547</v>
      </c>
      <c r="F44">
        <v>225000</v>
      </c>
      <c r="G44">
        <f t="shared" si="2"/>
        <v>396278727.33945858</v>
      </c>
      <c r="H44">
        <f t="shared" si="3"/>
        <v>211348654.58104458</v>
      </c>
      <c r="I44">
        <f t="shared" si="4"/>
        <v>351367138.24098665</v>
      </c>
      <c r="J44">
        <f t="shared" si="12"/>
        <v>1102975791.0948265</v>
      </c>
      <c r="K44">
        <f t="shared" si="5"/>
        <v>2061970311.2563162</v>
      </c>
      <c r="L44">
        <f t="shared" si="11"/>
        <v>40000000</v>
      </c>
      <c r="M44">
        <f t="shared" si="6"/>
        <v>64337489.979009002</v>
      </c>
      <c r="N44">
        <f t="shared" si="7"/>
        <v>1997632821.2773073</v>
      </c>
      <c r="O44">
        <f t="shared" si="8"/>
        <v>499408205.31932682</v>
      </c>
      <c r="P44">
        <f t="shared" si="9"/>
        <v>1498224615.9579804</v>
      </c>
      <c r="Q44">
        <f t="shared" si="10"/>
        <v>163832523.75117636</v>
      </c>
      <c r="R44">
        <f>+(1+$D$5)^24</f>
        <v>1.608437249475225</v>
      </c>
    </row>
    <row r="45" spans="1:18" x14ac:dyDescent="0.25">
      <c r="A45">
        <v>2041</v>
      </c>
      <c r="C45" s="1">
        <f>1/(1+$D$4)^25</f>
        <v>9.9718137765949261E-2</v>
      </c>
      <c r="F45">
        <v>225000</v>
      </c>
      <c r="G45">
        <f t="shared" si="2"/>
        <v>404204301.88624775</v>
      </c>
      <c r="H45">
        <f t="shared" si="3"/>
        <v>215575627.67266548</v>
      </c>
      <c r="I45">
        <f t="shared" si="4"/>
        <v>358394481.00580633</v>
      </c>
      <c r="J45">
        <f t="shared" si="12"/>
        <v>1125035306.9167228</v>
      </c>
      <c r="K45">
        <f t="shared" si="5"/>
        <v>2103209717.4814425</v>
      </c>
      <c r="L45">
        <f t="shared" si="11"/>
        <v>40000000</v>
      </c>
      <c r="M45">
        <f t="shared" si="6"/>
        <v>65624239.778589182</v>
      </c>
      <c r="N45">
        <f t="shared" si="7"/>
        <v>2037585477.7028532</v>
      </c>
      <c r="O45">
        <f t="shared" si="8"/>
        <v>509396369.4257133</v>
      </c>
      <c r="P45">
        <f t="shared" si="9"/>
        <v>1528189108.2771399</v>
      </c>
      <c r="Q45">
        <f t="shared" si="10"/>
        <v>152388172.03160298</v>
      </c>
      <c r="R45">
        <f>+(1+$D$5)^25</f>
        <v>1.6406059944647295</v>
      </c>
    </row>
    <row r="46" spans="1:18" x14ac:dyDescent="0.25">
      <c r="A46">
        <v>2042</v>
      </c>
      <c r="C46" s="1">
        <f>1/(1+$D$4)^26</f>
        <v>9.0933755150865367E-2</v>
      </c>
      <c r="F46">
        <v>225000</v>
      </c>
      <c r="G46">
        <f t="shared" si="2"/>
        <v>412288387.92397279</v>
      </c>
      <c r="H46">
        <f t="shared" si="3"/>
        <v>219887140.2261188</v>
      </c>
      <c r="I46">
        <f t="shared" si="4"/>
        <v>365562370.6259225</v>
      </c>
      <c r="J46">
        <f t="shared" si="12"/>
        <v>1147536013.0550575</v>
      </c>
      <c r="K46">
        <f t="shared" si="5"/>
        <v>2145273911.8310716</v>
      </c>
      <c r="L46">
        <f t="shared" si="11"/>
        <v>40000000</v>
      </c>
      <c r="M46">
        <f t="shared" si="6"/>
        <v>66936724.574160971</v>
      </c>
      <c r="N46">
        <f t="shared" si="7"/>
        <v>2078337187.2569106</v>
      </c>
      <c r="O46">
        <f t="shared" si="8"/>
        <v>519584296.81422764</v>
      </c>
      <c r="P46">
        <f t="shared" si="9"/>
        <v>1558752890.442683</v>
      </c>
      <c r="Q46">
        <f t="shared" si="10"/>
        <v>141743253.68021861</v>
      </c>
      <c r="R46">
        <f>+(1+$D$5)^26</f>
        <v>1.6734181143540243</v>
      </c>
    </row>
    <row r="47" spans="1:18" x14ac:dyDescent="0.25">
      <c r="A47">
        <v>2043</v>
      </c>
      <c r="C47" s="1">
        <f>1/(1+$D$4)^27</f>
        <v>8.2923207463478435E-2</v>
      </c>
      <c r="F47">
        <v>225000</v>
      </c>
      <c r="G47">
        <f t="shared" si="2"/>
        <v>420534155.68245214</v>
      </c>
      <c r="H47">
        <f t="shared" si="3"/>
        <v>224284883.03064114</v>
      </c>
      <c r="I47">
        <f t="shared" si="4"/>
        <v>372873618.03844088</v>
      </c>
      <c r="J47">
        <f t="shared" si="12"/>
        <v>1170486733.3161583</v>
      </c>
      <c r="K47">
        <f t="shared" si="5"/>
        <v>2188179390.0676928</v>
      </c>
      <c r="L47">
        <f t="shared" si="11"/>
        <v>40000000</v>
      </c>
      <c r="M47">
        <f t="shared" si="6"/>
        <v>68275459.065644175</v>
      </c>
      <c r="N47">
        <f t="shared" si="7"/>
        <v>2119903931.0020485</v>
      </c>
      <c r="O47">
        <f t="shared" si="8"/>
        <v>529975982.75051212</v>
      </c>
      <c r="P47">
        <f t="shared" si="9"/>
        <v>1589927948.2515364</v>
      </c>
      <c r="Q47">
        <f t="shared" si="10"/>
        <v>131841925.10484475</v>
      </c>
      <c r="R47">
        <f>+(1+$D$5)^27</f>
        <v>1.7068864766411045</v>
      </c>
    </row>
    <row r="48" spans="1:18" x14ac:dyDescent="0.25">
      <c r="A48">
        <v>2044</v>
      </c>
      <c r="C48" s="1">
        <f>1/(1+$D$4)^28</f>
        <v>7.5618325940932485E-2</v>
      </c>
      <c r="F48">
        <v>225000</v>
      </c>
      <c r="G48">
        <f t="shared" si="2"/>
        <v>428944838.79610121</v>
      </c>
      <c r="H48">
        <f t="shared" si="3"/>
        <v>228770580.69125399</v>
      </c>
      <c r="I48">
        <f t="shared" si="4"/>
        <v>380331090.3992098</v>
      </c>
      <c r="J48">
        <f t="shared" si="12"/>
        <v>1193896467.9824817</v>
      </c>
      <c r="K48">
        <f t="shared" si="5"/>
        <v>2231942977.8690467</v>
      </c>
      <c r="L48">
        <f t="shared" si="11"/>
        <v>40000000</v>
      </c>
      <c r="M48">
        <f t="shared" si="6"/>
        <v>69640968.246957079</v>
      </c>
      <c r="N48">
        <f t="shared" si="7"/>
        <v>2162302009.6220894</v>
      </c>
      <c r="O48">
        <f t="shared" si="8"/>
        <v>540575502.40552235</v>
      </c>
      <c r="P48">
        <f t="shared" si="9"/>
        <v>1621726507.216567</v>
      </c>
      <c r="Q48">
        <f t="shared" si="10"/>
        <v>122632243.60975236</v>
      </c>
      <c r="R48">
        <f>+(1+$D$5)^28</f>
        <v>1.7410242061739269</v>
      </c>
    </row>
    <row r="49" spans="1:18" x14ac:dyDescent="0.25">
      <c r="A49">
        <v>2045</v>
      </c>
      <c r="C49" s="1">
        <f>1/(1+$D$4)^29</f>
        <v>6.8956946951521617E-2</v>
      </c>
      <c r="F49">
        <v>225000</v>
      </c>
      <c r="G49">
        <f t="shared" si="2"/>
        <v>437523735.57202315</v>
      </c>
      <c r="H49">
        <f t="shared" si="3"/>
        <v>233345992.30507904</v>
      </c>
      <c r="I49">
        <f t="shared" si="4"/>
        <v>387937712.20719391</v>
      </c>
      <c r="J49">
        <f t="shared" si="12"/>
        <v>1217774397.3421314</v>
      </c>
      <c r="K49">
        <f t="shared" si="5"/>
        <v>2276581837.4264274</v>
      </c>
      <c r="L49">
        <f t="shared" si="11"/>
        <v>40000000</v>
      </c>
      <c r="M49">
        <f t="shared" si="6"/>
        <v>71033787.611896202</v>
      </c>
      <c r="N49">
        <f t="shared" si="7"/>
        <v>2205548049.8145313</v>
      </c>
      <c r="O49">
        <f t="shared" si="8"/>
        <v>551387012.45363283</v>
      </c>
      <c r="P49">
        <f t="shared" si="9"/>
        <v>1654161037.3608985</v>
      </c>
      <c r="Q49">
        <f t="shared" si="10"/>
        <v>114065894.90256944</v>
      </c>
      <c r="R49">
        <f>+(1+$D$5)^29</f>
        <v>1.7758446902974052</v>
      </c>
    </row>
    <row r="50" spans="1:18" x14ac:dyDescent="0.25">
      <c r="A50">
        <v>2046</v>
      </c>
      <c r="C50" s="1">
        <f>1/(1+$D$4)^30</f>
        <v>6.2882382989928529E-2</v>
      </c>
      <c r="F50">
        <v>225000</v>
      </c>
      <c r="G50">
        <f t="shared" si="2"/>
        <v>446274210.28346372</v>
      </c>
      <c r="H50">
        <f t="shared" si="3"/>
        <v>238012912.15118065</v>
      </c>
      <c r="I50">
        <f t="shared" si="4"/>
        <v>395696466.45133787</v>
      </c>
      <c r="J50">
        <f t="shared" si="12"/>
        <v>1242129885.288974</v>
      </c>
      <c r="K50">
        <f t="shared" si="5"/>
        <v>2322113474.1749563</v>
      </c>
      <c r="L50">
        <f t="shared" si="11"/>
        <v>40000000</v>
      </c>
      <c r="M50">
        <f t="shared" si="6"/>
        <v>72454463.364134133</v>
      </c>
      <c r="N50">
        <f t="shared" si="7"/>
        <v>2249659010.810822</v>
      </c>
      <c r="O50">
        <f t="shared" si="8"/>
        <v>562414752.7027055</v>
      </c>
      <c r="P50">
        <f t="shared" si="9"/>
        <v>1687244258.1081166</v>
      </c>
      <c r="Q50">
        <f t="shared" si="10"/>
        <v>106097939.63591242</v>
      </c>
      <c r="R50">
        <f>+(1+$D$5)^30</f>
        <v>1.8113615841033535</v>
      </c>
    </row>
    <row r="51" spans="1:18" x14ac:dyDescent="0.25">
      <c r="A51">
        <v>2047</v>
      </c>
      <c r="C51" s="1">
        <f>1/(1+$D$4)^31</f>
        <v>5.7342940273616631E-2</v>
      </c>
      <c r="F51">
        <v>225000</v>
      </c>
      <c r="G51">
        <f t="shared" si="2"/>
        <v>455199694.48913288</v>
      </c>
      <c r="H51">
        <f t="shared" si="3"/>
        <v>242773170.3942042</v>
      </c>
      <c r="I51">
        <f t="shared" si="4"/>
        <v>403610395.78036451</v>
      </c>
      <c r="J51">
        <f t="shared" si="12"/>
        <v>1266972482.9947531</v>
      </c>
      <c r="K51">
        <f t="shared" si="5"/>
        <v>2368555743.6584549</v>
      </c>
      <c r="L51">
        <f t="shared" si="11"/>
        <v>40000000</v>
      </c>
      <c r="M51">
        <f t="shared" si="6"/>
        <v>73903552.631416798</v>
      </c>
      <c r="N51">
        <f t="shared" si="7"/>
        <v>2294652191.0270381</v>
      </c>
      <c r="O51">
        <f t="shared" si="8"/>
        <v>573663047.75675952</v>
      </c>
      <c r="P51">
        <f t="shared" si="9"/>
        <v>1720989143.2702785</v>
      </c>
      <c r="Q51">
        <f t="shared" si="10"/>
        <v>98686577.654090226</v>
      </c>
      <c r="R51">
        <f>+(1+$D$5)^31</f>
        <v>1.8475888157854201</v>
      </c>
    </row>
    <row r="52" spans="1:18" x14ac:dyDescent="0.25">
      <c r="A52">
        <v>2048</v>
      </c>
      <c r="C52" s="1">
        <f>1/(1+$D$4)^32</f>
        <v>5.2291478835180531E-2</v>
      </c>
      <c r="F52">
        <v>225000</v>
      </c>
      <c r="G52">
        <f t="shared" si="2"/>
        <v>464303688.37891561</v>
      </c>
      <c r="H52">
        <f t="shared" si="3"/>
        <v>247628633.80208835</v>
      </c>
      <c r="I52">
        <f t="shared" si="4"/>
        <v>411682603.69597185</v>
      </c>
      <c r="J52">
        <f t="shared" si="12"/>
        <v>1292311932.6546485</v>
      </c>
      <c r="K52">
        <f t="shared" si="5"/>
        <v>2415926858.5316243</v>
      </c>
      <c r="L52">
        <f t="shared" si="11"/>
        <v>40000000</v>
      </c>
      <c r="M52">
        <f t="shared" si="6"/>
        <v>75381623.684045151</v>
      </c>
      <c r="N52">
        <f t="shared" si="7"/>
        <v>2340545234.847579</v>
      </c>
      <c r="O52">
        <f t="shared" si="8"/>
        <v>585136308.71189475</v>
      </c>
      <c r="P52">
        <f t="shared" si="9"/>
        <v>1755408926.1356843</v>
      </c>
      <c r="Q52">
        <f t="shared" si="10"/>
        <v>91792928.708111122</v>
      </c>
      <c r="R52">
        <f>+(1+$D$5)^32</f>
        <v>1.8845405921011289</v>
      </c>
    </row>
    <row r="53" spans="1:18" x14ac:dyDescent="0.25">
      <c r="A53">
        <v>2049</v>
      </c>
      <c r="C53" s="1">
        <f>1/(1+$D$4)^33</f>
        <v>4.7685011367096297E-2</v>
      </c>
      <c r="F53">
        <v>225000</v>
      </c>
      <c r="G53">
        <f t="shared" si="2"/>
        <v>473589762.14649397</v>
      </c>
      <c r="H53">
        <f t="shared" si="3"/>
        <v>252581206.47813013</v>
      </c>
      <c r="I53">
        <f t="shared" si="4"/>
        <v>419916255.76989138</v>
      </c>
      <c r="J53">
        <f t="shared" si="12"/>
        <v>1318158171.3077416</v>
      </c>
      <c r="K53">
        <f t="shared" si="5"/>
        <v>2464245395.7022572</v>
      </c>
      <c r="L53">
        <f t="shared" si="11"/>
        <v>40000000</v>
      </c>
      <c r="M53">
        <f t="shared" si="6"/>
        <v>76889256.157726064</v>
      </c>
      <c r="N53">
        <f t="shared" si="7"/>
        <v>2387356139.5445309</v>
      </c>
      <c r="O53">
        <f t="shared" si="8"/>
        <v>596839034.88613272</v>
      </c>
      <c r="P53">
        <f t="shared" si="9"/>
        <v>1790517104.6583982</v>
      </c>
      <c r="Q53">
        <f t="shared" si="10"/>
        <v>85380828.488616064</v>
      </c>
      <c r="R53">
        <f>+(1+$D$5)^33</f>
        <v>1.9222314039431516</v>
      </c>
    </row>
    <row r="54" spans="1:18" x14ac:dyDescent="0.25">
      <c r="A54">
        <v>2050</v>
      </c>
      <c r="C54" s="1">
        <f>1/(1+$D$4)^34</f>
        <v>4.3484337405089814E-2</v>
      </c>
      <c r="F54">
        <v>225000</v>
      </c>
      <c r="G54">
        <f t="shared" si="2"/>
        <v>483061557.38942379</v>
      </c>
      <c r="H54">
        <f t="shared" si="3"/>
        <v>257632830.60769269</v>
      </c>
      <c r="I54">
        <f t="shared" si="4"/>
        <v>428314580.88528913</v>
      </c>
      <c r="J54">
        <f t="shared" si="12"/>
        <v>1344521334.7338963</v>
      </c>
      <c r="K54">
        <f t="shared" si="5"/>
        <v>2513530303.6163015</v>
      </c>
      <c r="L54">
        <f t="shared" si="11"/>
        <v>40000000</v>
      </c>
      <c r="M54">
        <f t="shared" si="6"/>
        <v>78427041.280880585</v>
      </c>
      <c r="N54">
        <f t="shared" si="7"/>
        <v>2435103262.3354211</v>
      </c>
      <c r="O54">
        <f t="shared" si="8"/>
        <v>608775815.58385527</v>
      </c>
      <c r="P54">
        <f t="shared" si="9"/>
        <v>1826327446.7515659</v>
      </c>
      <c r="Q54">
        <f t="shared" si="10"/>
        <v>79416638.906721294</v>
      </c>
      <c r="R54">
        <f>+(1+$D$5)^34</f>
        <v>1.9606760320220145</v>
      </c>
    </row>
    <row r="55" spans="1:18" x14ac:dyDescent="0.25">
      <c r="A55">
        <v>2051</v>
      </c>
      <c r="C55" s="1">
        <f>1/(1+$D$4)^35</f>
        <v>3.9653709737069442E-2</v>
      </c>
      <c r="F55">
        <v>225000</v>
      </c>
      <c r="G55">
        <f t="shared" si="2"/>
        <v>492722788.53721231</v>
      </c>
      <c r="H55">
        <f t="shared" si="3"/>
        <v>262785487.21984655</v>
      </c>
      <c r="I55">
        <f t="shared" si="4"/>
        <v>436880872.50299489</v>
      </c>
      <c r="J55">
        <f t="shared" si="12"/>
        <v>1371411761.4285741</v>
      </c>
      <c r="K55">
        <f t="shared" si="5"/>
        <v>2563800909.6886277</v>
      </c>
      <c r="L55">
        <f t="shared" si="11"/>
        <v>40000000</v>
      </c>
      <c r="M55">
        <f t="shared" si="6"/>
        <v>79995582.106498182</v>
      </c>
      <c r="N55">
        <f t="shared" si="7"/>
        <v>2483805327.5821295</v>
      </c>
      <c r="O55">
        <f t="shared" si="8"/>
        <v>620951331.89553237</v>
      </c>
      <c r="P55">
        <f t="shared" si="9"/>
        <v>1862853995.6865971</v>
      </c>
      <c r="Q55">
        <f t="shared" si="10"/>
        <v>73869071.627496332</v>
      </c>
      <c r="R55">
        <f>+(1+$D$5)^35</f>
        <v>1.9998895526624547</v>
      </c>
    </row>
    <row r="57" spans="1:18" x14ac:dyDescent="0.25">
      <c r="O57" t="s">
        <v>32</v>
      </c>
      <c r="Q57">
        <f>SUM(Q26:Q55)</f>
        <v>4618481292.3711653</v>
      </c>
    </row>
    <row r="58" spans="1:18" x14ac:dyDescent="0.25">
      <c r="O58" t="s">
        <v>33</v>
      </c>
      <c r="Q58">
        <f>SUM(D20:D26)</f>
        <v>4181305909.4268599</v>
      </c>
    </row>
    <row r="59" spans="1:18" x14ac:dyDescent="0.25">
      <c r="O59" t="s">
        <v>34</v>
      </c>
      <c r="Q59">
        <f>+Q57-Q58</f>
        <v>437175382.94430542</v>
      </c>
    </row>
    <row r="60" spans="1:18" x14ac:dyDescent="0.25">
      <c r="O60" t="s">
        <v>40</v>
      </c>
      <c r="Q60">
        <f>+Q57/Q58</f>
        <v>1.1045547473478758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Real terms</vt:lpstr>
      <vt:lpstr>Nominal terms</vt:lpstr>
    </vt:vector>
  </TitlesOfParts>
  <Company>La Trobe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Henry</dc:creator>
  <cp:lastModifiedBy>Darren Henry</cp:lastModifiedBy>
  <dcterms:created xsi:type="dcterms:W3CDTF">2016-08-28T05:49:45Z</dcterms:created>
  <dcterms:modified xsi:type="dcterms:W3CDTF">2016-08-28T10:04:20Z</dcterms:modified>
</cp:coreProperties>
</file>